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gobiernobogota-my.sharepoint.com/personal/juliand_perez_gobiernobogota_gov_co/Documents/01-PROMOTOR MEJORA MÁRTIRES/01-Plan de Gestión/2025/Trim IV/"/>
    </mc:Choice>
  </mc:AlternateContent>
  <xr:revisionPtr revIDLastSave="403" documentId="13_ncr:1_{E37CBB67-38E3-430A-8D1A-E5D120724154}" xr6:coauthVersionLast="47" xr6:coauthVersionMax="47" xr10:uidLastSave="{EC73A43B-B883-44CD-9D40-EAAA19067E22}"/>
  <bookViews>
    <workbookView xWindow="-120" yWindow="-120" windowWidth="29040" windowHeight="158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1" i="1" l="1"/>
  <c r="AR32" i="1"/>
  <c r="AH35" i="1"/>
  <c r="AR33" i="1"/>
  <c r="AR31" i="1"/>
  <c r="AR23" i="1"/>
  <c r="AR16" i="1"/>
  <c r="AQ36" i="1"/>
  <c r="AC35" i="1"/>
  <c r="AB33" i="1"/>
  <c r="AG16" i="1"/>
  <c r="AI16" i="1" s="1"/>
  <c r="AL16" i="1"/>
  <c r="AN16" i="1" s="1"/>
  <c r="AG17" i="1"/>
  <c r="AI17" i="1" s="1"/>
  <c r="AL17" i="1"/>
  <c r="AN17" i="1" s="1"/>
  <c r="AG18" i="1"/>
  <c r="AI18" i="1" s="1"/>
  <c r="AL18" i="1"/>
  <c r="AN18" i="1" s="1"/>
  <c r="AG19" i="1"/>
  <c r="AI19" i="1" s="1"/>
  <c r="AL19" i="1"/>
  <c r="AN19" i="1" s="1"/>
  <c r="AG20" i="1"/>
  <c r="AI20" i="1" s="1"/>
  <c r="AL20" i="1"/>
  <c r="AN20" i="1" s="1"/>
  <c r="AG21" i="1"/>
  <c r="AI21" i="1" s="1"/>
  <c r="AL21" i="1"/>
  <c r="AN21" i="1" s="1"/>
  <c r="AB34" i="1"/>
  <c r="AN34" i="1"/>
  <c r="AI34" i="1"/>
  <c r="AI31" i="1"/>
  <c r="AD34" i="1"/>
  <c r="AD33" i="1"/>
  <c r="Y32" i="1"/>
  <c r="Y31" i="1"/>
  <c r="X35" i="1"/>
  <c r="AR35" i="1" s="1"/>
  <c r="AR37" i="1"/>
  <c r="AR36" i="1"/>
  <c r="AS36" i="1" s="1"/>
  <c r="AR29" i="1"/>
  <c r="AR28" i="1"/>
  <c r="AR27" i="1"/>
  <c r="AR26" i="1"/>
  <c r="AR25" i="1"/>
  <c r="AR24" i="1"/>
  <c r="AR22" i="1"/>
  <c r="AR20" i="1"/>
  <c r="AR19" i="1"/>
  <c r="AR18" i="1"/>
  <c r="AR17" i="1"/>
  <c r="X34" i="1"/>
  <c r="AQ37" i="1"/>
  <c r="AL37" i="1"/>
  <c r="AN37" i="1" s="1"/>
  <c r="AG37" i="1"/>
  <c r="AI37" i="1" s="1"/>
  <c r="AB37" i="1"/>
  <c r="AD37" i="1" s="1"/>
  <c r="W37" i="1"/>
  <c r="Y37" i="1" s="1"/>
  <c r="AL36" i="1"/>
  <c r="AN36" i="1" s="1"/>
  <c r="AG36" i="1"/>
  <c r="AI36" i="1" s="1"/>
  <c r="AB36" i="1"/>
  <c r="AD36" i="1" s="1"/>
  <c r="W36" i="1"/>
  <c r="Y36" i="1" s="1"/>
  <c r="AQ35" i="1"/>
  <c r="AL35" i="1"/>
  <c r="AN35" i="1" s="1"/>
  <c r="AG35" i="1"/>
  <c r="AI35" i="1" s="1"/>
  <c r="AB35" i="1"/>
  <c r="W35" i="1"/>
  <c r="AQ33" i="1"/>
  <c r="AS33" i="1" s="1"/>
  <c r="AL33" i="1"/>
  <c r="AN33" i="1" s="1"/>
  <c r="AG33" i="1"/>
  <c r="AI33" i="1" s="1"/>
  <c r="W33" i="1"/>
  <c r="Y33" i="1" s="1"/>
  <c r="AQ32" i="1"/>
  <c r="AS32" i="1" s="1"/>
  <c r="AL32" i="1"/>
  <c r="AN32" i="1" s="1"/>
  <c r="AG32" i="1"/>
  <c r="AI32" i="1" s="1"/>
  <c r="AB32" i="1"/>
  <c r="AD32" i="1" s="1"/>
  <c r="AQ31" i="1"/>
  <c r="AL31" i="1"/>
  <c r="AN31" i="1" s="1"/>
  <c r="AN38" i="1" s="1"/>
  <c r="AB31" i="1"/>
  <c r="AD31" i="1" s="1"/>
  <c r="AS31" i="1" l="1"/>
  <c r="AI38" i="1"/>
  <c r="AD35" i="1"/>
  <c r="AD38" i="1" s="1"/>
  <c r="AR34" i="1"/>
  <c r="AS34" i="1" s="1"/>
  <c r="Y34" i="1"/>
  <c r="AS37" i="1"/>
  <c r="AS35" i="1"/>
  <c r="Y35" i="1"/>
  <c r="P24" i="1"/>
  <c r="P25" i="1"/>
  <c r="P26" i="1"/>
  <c r="P27" i="1"/>
  <c r="P28" i="1"/>
  <c r="P29" i="1"/>
  <c r="P23" i="1"/>
  <c r="P22" i="1"/>
  <c r="P21" i="1"/>
  <c r="AQ21" i="1" s="1"/>
  <c r="AS21" i="1" s="1"/>
  <c r="AS38" i="1" l="1"/>
  <c r="Y38" i="1"/>
  <c r="P20" i="1"/>
  <c r="AQ20" i="1" s="1"/>
  <c r="AS20" i="1" s="1"/>
  <c r="P19" i="1"/>
  <c r="AQ19" i="1" s="1"/>
  <c r="AS19" i="1" s="1"/>
  <c r="P18" i="1"/>
  <c r="AQ18" i="1" s="1"/>
  <c r="AS18" i="1" s="1"/>
  <c r="P17" i="1"/>
  <c r="AQ17" i="1" s="1"/>
  <c r="AS17" i="1" s="1"/>
  <c r="P16" i="1"/>
  <c r="AQ16" i="1" s="1"/>
  <c r="AS16" i="1" s="1"/>
  <c r="AQ29" i="1" l="1"/>
  <c r="AS29" i="1" s="1"/>
  <c r="AQ28" i="1"/>
  <c r="AS28" i="1" s="1"/>
  <c r="AQ27" i="1"/>
  <c r="AS27" i="1" s="1"/>
  <c r="AQ26" i="1"/>
  <c r="AS26" i="1" s="1"/>
  <c r="AQ25" i="1"/>
  <c r="AS25" i="1" s="1"/>
  <c r="AQ24" i="1"/>
  <c r="AS24" i="1" s="1"/>
  <c r="AQ23" i="1"/>
  <c r="AS23" i="1" s="1"/>
  <c r="AQ22" i="1"/>
  <c r="AS22" i="1" s="1"/>
  <c r="AS30" i="1" s="1"/>
  <c r="AL29" i="1"/>
  <c r="AN29" i="1" s="1"/>
  <c r="AL28" i="1"/>
  <c r="AN28" i="1" s="1"/>
  <c r="AL27" i="1"/>
  <c r="AN27" i="1" s="1"/>
  <c r="AL26" i="1"/>
  <c r="AN26" i="1" s="1"/>
  <c r="AL25" i="1"/>
  <c r="AN25" i="1" s="1"/>
  <c r="AL24" i="1"/>
  <c r="AN24" i="1" s="1"/>
  <c r="AL23" i="1"/>
  <c r="AN23" i="1" s="1"/>
  <c r="AL22" i="1"/>
  <c r="AN22" i="1" s="1"/>
  <c r="AG29" i="1"/>
  <c r="AI29" i="1" s="1"/>
  <c r="AG28" i="1"/>
  <c r="AI28" i="1" s="1"/>
  <c r="AG27" i="1"/>
  <c r="AI27" i="1" s="1"/>
  <c r="AG26" i="1"/>
  <c r="AI26" i="1" s="1"/>
  <c r="AG25" i="1"/>
  <c r="AI25" i="1" s="1"/>
  <c r="AG24" i="1"/>
  <c r="AI24" i="1" s="1"/>
  <c r="AG23" i="1"/>
  <c r="AI23" i="1" s="1"/>
  <c r="AG22" i="1"/>
  <c r="AI22" i="1" s="1"/>
  <c r="AI30" i="1" s="1"/>
  <c r="AB29" i="1"/>
  <c r="AD29" i="1" s="1"/>
  <c r="AB28" i="1"/>
  <c r="AD28" i="1" s="1"/>
  <c r="AB27" i="1"/>
  <c r="AD27" i="1" s="1"/>
  <c r="AB26" i="1"/>
  <c r="AD26" i="1" s="1"/>
  <c r="AB25" i="1"/>
  <c r="AD25" i="1" s="1"/>
  <c r="AB24" i="1"/>
  <c r="AD24" i="1" s="1"/>
  <c r="AB23" i="1"/>
  <c r="AD23" i="1" s="1"/>
  <c r="AB22" i="1"/>
  <c r="AD22" i="1" s="1"/>
  <c r="AB21" i="1"/>
  <c r="AD21" i="1" s="1"/>
  <c r="AB20" i="1"/>
  <c r="AD20" i="1" s="1"/>
  <c r="AB19" i="1"/>
  <c r="AD19" i="1" s="1"/>
  <c r="AB18" i="1"/>
  <c r="AD18" i="1" s="1"/>
  <c r="AB17" i="1"/>
  <c r="AD17" i="1" s="1"/>
  <c r="AB16" i="1"/>
  <c r="AD16" i="1" s="1"/>
  <c r="W29" i="1"/>
  <c r="Y29" i="1" s="1"/>
  <c r="W28" i="1"/>
  <c r="Y28" i="1" s="1"/>
  <c r="W27" i="1"/>
  <c r="Y27" i="1" s="1"/>
  <c r="W26" i="1"/>
  <c r="Y26" i="1" s="1"/>
  <c r="W25" i="1"/>
  <c r="Y25" i="1" s="1"/>
  <c r="W24" i="1"/>
  <c r="Y24" i="1" s="1"/>
  <c r="W23" i="1"/>
  <c r="Y23" i="1" s="1"/>
  <c r="W22" i="1"/>
  <c r="Y22" i="1" s="1"/>
  <c r="W21" i="1"/>
  <c r="Y21" i="1" s="1"/>
  <c r="W20" i="1"/>
  <c r="Y20" i="1" s="1"/>
  <c r="W19" i="1"/>
  <c r="Y19" i="1" s="1"/>
  <c r="W18" i="1"/>
  <c r="Y18" i="1" s="1"/>
  <c r="W17" i="1"/>
  <c r="Y17" i="1" s="1"/>
  <c r="Y30" i="1"/>
  <c r="W16" i="1"/>
  <c r="Y16" i="1" s="1"/>
  <c r="AD30" i="1" l="1"/>
  <c r="AD39" i="1" s="1"/>
  <c r="AN30" i="1"/>
  <c r="AN39" i="1" s="1"/>
  <c r="AI39" i="1"/>
  <c r="Y39" i="1"/>
  <c r="AS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W15" authorId="0" shapeId="0" xr:uid="{00000000-0006-0000-0000-00001A000000}">
      <text>
        <r>
          <rPr>
            <b/>
            <sz val="9"/>
            <color indexed="81"/>
            <rFont val="Tahoma"/>
            <family val="2"/>
          </rPr>
          <t>Indique la magnitud programada</t>
        </r>
      </text>
    </comment>
    <comment ref="X15" authorId="0" shapeId="0" xr:uid="{00000000-0006-0000-0000-00001B000000}">
      <text>
        <r>
          <rPr>
            <b/>
            <sz val="9"/>
            <color indexed="81"/>
            <rFont val="Tahoma"/>
            <family val="2"/>
          </rPr>
          <t>Indique la magnitud ejecutada. Corresponde al resultado de medir el indicador de la meta</t>
        </r>
      </text>
    </comment>
    <comment ref="Y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Z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A15" authorId="0" shapeId="0" xr:uid="{00000000-0006-0000-0000-00001E000000}">
      <text>
        <r>
          <rPr>
            <b/>
            <sz val="9"/>
            <color indexed="81"/>
            <rFont val="Tahoma"/>
            <family val="2"/>
          </rPr>
          <t xml:space="preserve">Indicar el nombre concreto de la evidencia aportada. </t>
        </r>
      </text>
    </comment>
    <comment ref="AB15" authorId="0" shapeId="0" xr:uid="{00000000-0006-0000-0000-00001F000000}">
      <text>
        <r>
          <rPr>
            <b/>
            <sz val="9"/>
            <color indexed="81"/>
            <rFont val="Tahoma"/>
            <family val="2"/>
          </rPr>
          <t>Indique la magnitud programada</t>
        </r>
      </text>
    </comment>
    <comment ref="AC15" authorId="0" shapeId="0" xr:uid="{00000000-0006-0000-0000-000020000000}">
      <text>
        <r>
          <rPr>
            <b/>
            <sz val="9"/>
            <color indexed="81"/>
            <rFont val="Tahoma"/>
            <family val="2"/>
          </rPr>
          <t>Indique la magnitud ejecutada. Corresponde al resultado de medir el indicador de la meta</t>
        </r>
      </text>
    </comment>
    <comment ref="AD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E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F15" authorId="0" shapeId="0" xr:uid="{00000000-0006-0000-0000-000023000000}">
      <text>
        <r>
          <rPr>
            <b/>
            <sz val="9"/>
            <color indexed="81"/>
            <rFont val="Tahoma"/>
            <family val="2"/>
          </rPr>
          <t xml:space="preserve">Indicar el nombre concreto de la evidencia aportada. </t>
        </r>
      </text>
    </comment>
    <comment ref="AG15" authorId="0" shapeId="0" xr:uid="{00000000-0006-0000-0000-000024000000}">
      <text>
        <r>
          <rPr>
            <b/>
            <sz val="9"/>
            <color indexed="81"/>
            <rFont val="Tahoma"/>
            <family val="2"/>
          </rPr>
          <t>Indique la magnitud programada</t>
        </r>
      </text>
    </comment>
    <comment ref="AH15" authorId="0" shapeId="0" xr:uid="{00000000-0006-0000-0000-000025000000}">
      <text>
        <r>
          <rPr>
            <b/>
            <sz val="9"/>
            <color indexed="81"/>
            <rFont val="Tahoma"/>
            <family val="2"/>
          </rPr>
          <t>Indique la magnitud ejecutada. Corresponde al resultado de medir el indicador de la meta</t>
        </r>
      </text>
    </comment>
    <comment ref="AI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J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K15" authorId="0" shapeId="0" xr:uid="{00000000-0006-0000-0000-000028000000}">
      <text>
        <r>
          <rPr>
            <b/>
            <sz val="9"/>
            <color indexed="81"/>
            <rFont val="Tahoma"/>
            <family val="2"/>
          </rPr>
          <t xml:space="preserve">Indicar el nombre concreto de la evidencia aportada. </t>
        </r>
      </text>
    </comment>
    <comment ref="AL15" authorId="0" shapeId="0" xr:uid="{00000000-0006-0000-0000-000029000000}">
      <text>
        <r>
          <rPr>
            <b/>
            <sz val="9"/>
            <color indexed="81"/>
            <rFont val="Tahoma"/>
            <family val="2"/>
          </rPr>
          <t>Indique la magnitud programada</t>
        </r>
      </text>
    </comment>
    <comment ref="AM15" authorId="0" shapeId="0" xr:uid="{00000000-0006-0000-0000-00002A000000}">
      <text>
        <r>
          <rPr>
            <b/>
            <sz val="9"/>
            <color indexed="81"/>
            <rFont val="Tahoma"/>
            <family val="2"/>
          </rPr>
          <t>Indique la magnitud ejecutada. Corresponde al resultado de medir el indicador de la meta</t>
        </r>
      </text>
    </comment>
    <comment ref="AN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O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P15" authorId="0" shapeId="0" xr:uid="{00000000-0006-0000-0000-00002D000000}">
      <text>
        <r>
          <rPr>
            <b/>
            <sz val="9"/>
            <color indexed="81"/>
            <rFont val="Tahoma"/>
            <family val="2"/>
          </rPr>
          <t xml:space="preserve">Indicar el nombre concreto de la evidencia aportada. </t>
        </r>
      </text>
    </comment>
    <comment ref="AQ15" authorId="0" shapeId="0" xr:uid="{00000000-0006-0000-0000-00002E000000}">
      <text>
        <r>
          <rPr>
            <b/>
            <sz val="9"/>
            <color indexed="81"/>
            <rFont val="Tahoma"/>
            <family val="2"/>
          </rPr>
          <t>Indique la magnitud total programada para la vigencia</t>
        </r>
      </text>
    </comment>
    <comment ref="AR15" authorId="0" shapeId="0" xr:uid="{00000000-0006-0000-0000-00002F000000}">
      <text>
        <r>
          <rPr>
            <b/>
            <sz val="9"/>
            <color indexed="81"/>
            <rFont val="Tahoma"/>
            <family val="2"/>
          </rPr>
          <t xml:space="preserve">Indique la magnitud ejecutada acumulada para la vigencia </t>
        </r>
      </text>
    </comment>
    <comment ref="AS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T15"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<sst xmlns="http://schemas.openxmlformats.org/spreadsheetml/2006/main" count="554" uniqueCount="311">
  <si>
    <r>
      <rPr>
        <b/>
        <sz val="14"/>
        <rFont val="Calibri Light"/>
        <family val="2"/>
        <scheme val="major"/>
      </rPr>
      <t>FORMULACIÓN Y SEGUIMIENTO PLANES DE GESTIÓN NIVEL LOCAL</t>
    </r>
    <r>
      <rPr>
        <b/>
        <sz val="11"/>
        <color theme="1"/>
        <rFont val="Calibri Light"/>
        <family val="2"/>
        <scheme val="major"/>
      </rPr>
      <t xml:space="preserve">
ALCALDÍA LOCAL DE LOS MÁRTIRES</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</si>
  <si>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</si>
  <si>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</si>
  <si>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</si>
  <si>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</si>
  <si>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</si>
  <si>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</si>
  <si>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</si>
  <si>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115938</t>
  </si>
  <si>
    <t>16 de abril de 2025</t>
  </si>
  <si>
    <t>Para el primer trimestre de la vigencia 2025, el Plan de Gestión de la alcaldia local de Martires  alcanzó un nivel de desempeño del 80,32% y del 34,05% acumulado para la vigencia.</t>
  </si>
  <si>
    <t>26 de mayo de 2025</t>
  </si>
  <si>
    <t>Se realiza ajuste teniendo en cuenta el memorando de alcance  Radicado No. 20254600193883 Fecha: 23-05-2025 de la Oficina de Atencion a la Ciudadania sobre la meta transversal No MT4 y MT5, del Plan de Gestión de la alcaldia local  de Martitres alcanzó un nivel de desempeño del 76,45% y del 33,08% acumulado para la vigencia</t>
  </si>
  <si>
    <t>28 de julio de 2025</t>
  </si>
  <si>
    <t>Para el II trimestre de la vigencia 2025, el Plan de Gestión de la alcaldia local de Martires  alcanzó un nivel de desempeño del 87,20% y del 51,73% acumulado para la vigencia.</t>
  </si>
  <si>
    <t>15 de octubre de 2025</t>
  </si>
  <si>
    <t>Para el III trimestre de la vigencia 2025, el Plan de Gestión de la alcaldia local de Martires  alcanzó un nivel de desempeño del 93,38% y del 75,40% acumulado para la vigencia.</t>
  </si>
  <si>
    <t>20 de enero de 2026</t>
  </si>
  <si>
    <t>Para el IV trimestre de la vigencia 2025, el Plan de Gestión de la alcaldia local de Martires  alcanzó un nivel de desempeño del xx,xx% y del xx,xx%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</si>
  <si>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</si>
  <si>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</si>
  <si>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</si>
  <si>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</si>
  <si>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</si>
  <si>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</si>
  <si>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</si>
  <si>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</si>
  <si>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</si>
  <si>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</si>
  <si>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</si>
  <si>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</si>
  <si>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</si>
  <si>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</si>
  <si>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</si>
  <si>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</si>
  <si>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</si>
  <si>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</si>
  <si>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</si>
  <si>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</si>
  <si>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</si>
  <si>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</si>
  <si>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</si>
  <si>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</si>
  <si>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</si>
  <si>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</si>
  <si>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</si>
  <si>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</si>
  <si>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</si>
  <si>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</si>
  <si>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</si>
  <si>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</si>
  <si>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</si>
  <si>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</si>
  <si>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</si>
  <si>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</si>
  <si>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</si>
  <si>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</si>
  <si>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</si>
  <si>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</si>
  <si>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</si>
  <si>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</si>
  <si>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</si>
  <si>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</si>
  <si>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</si>
  <si>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</si>
  <si>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</si>
  <si>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</si>
  <si>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</si>
  <si>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 xml:space="preserve">Meta no programada </t>
  </si>
  <si>
    <t>Meta no programada</t>
  </si>
  <si>
    <t>Actualmente, los resultados de avance a metas se generaron a partir de los archivos en PDF cargados por la Secretaría de Planeación, con corte al 31 de marzo. En dichos documentos se encuentra el Informe de Avance del Plan de Desarrollo Local 2025–2028.</t>
  </si>
  <si>
    <t xml:space="preserve">Reporte metas de la DGDL para los planes de Gestion de las Alcaldias Locales </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</si>
  <si>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</si>
  <si>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</si>
  <si>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 xml:space="preserve">La meta fue cumplida en un 11,25% programada para el periodo </t>
  </si>
  <si>
    <t>Propiciar la revolución del servicio público con criterios de calidad, calidez, eficacia, oportunidad, sostenibilidad y transformación digital.</t>
  </si>
  <si>
    <t>Gestión Corporativa Institucional</t>
  </si>
  <si>
    <t>Girar mínimo el 66%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</si>
  <si>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</si>
  <si>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</si>
  <si>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</si>
  <si>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</si>
  <si>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</si>
  <si>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Se superó la meta programada para el 1er trimestre</t>
  </si>
  <si>
    <t>Reporte de la DGDL para el primer trimestre</t>
  </si>
  <si>
    <t>Se superó la meta programada para el 2do trimestre</t>
  </si>
  <si>
    <t>Se superó la meta programada para el 3er trimestre</t>
  </si>
  <si>
    <t>Reporte ejecución Bogdata corte 30-09-2025</t>
  </si>
  <si>
    <t>La meta alcanzó un 98,89% del programado para la vigencia.</t>
  </si>
  <si>
    <t>Girar mínimo el 63%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</si>
  <si>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</si>
  <si>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</si>
  <si>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</si>
  <si>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3er trimestre</t>
  </si>
  <si>
    <t>La meta alcanzó un 59,17% del programado para la vigencia.</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</si>
  <si>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</si>
  <si>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</si>
  <si>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</si>
  <si>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</si>
  <si>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alcanzo el porcentaje de cumplimiento acordado para el primer trimestre del Plan de Gestión. Este retraso en la ejecución se debe a la falta de contratación de los equipos de trabajo y formulación.</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</si>
  <si>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</si>
  <si>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</si>
  <si>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</si>
  <si>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La meta alcanzó un 70,10% del programado para la vigencia.</t>
  </si>
  <si>
    <t>Girar mínimo el 50%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</si>
  <si>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</si>
  <si>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</si>
  <si>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</si>
  <si>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 xml:space="preserve">Los giros son muy bajos a la fecha </t>
  </si>
  <si>
    <t>Se logró el cumplimiento de la meta establecida en materia de giros, lo cual refleja un compromiso por parte del FDL por avanzar en la ejecución y alcanzar los objetivos propuestos en el Plan de Gestión. 
No obstante, es importante mantener y fortalecer este ritmo de trabajo, asegurando una adecuada planeación y seguimiento a los procesos, con el fin de garantizar la sostenibilidad de los resultados en los siguientes trimestres.</t>
  </si>
  <si>
    <t>El Fondo de Desarrollo Local cumplió la meta establecida en el Plan de Gestión relacionada con los giros, alcanzando al corte del 30 de septiembre un resultado tres puntos porcentuales por encima de la meta programada.</t>
  </si>
  <si>
    <t>Reporte BOGDATA, corte 30 de septiembre</t>
  </si>
  <si>
    <t>La meta alcanzó un 68,00% del programado para la vigencia.</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</si>
  <si>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</si>
  <si>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</si>
  <si>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</si>
  <si>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</si>
  <si>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</si>
  <si>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</si>
  <si>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 xml:space="preserve">Teniendo en cuenta el porcentaje de contratos registrados en estado de ejecución a 31/03/2025, </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</si>
  <si>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</si>
  <si>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</si>
  <si>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</si>
  <si>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La meta alcanzó un 59,02% del programado para la vigencia.</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</si>
  <si>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</si>
  <si>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</si>
  <si>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</si>
  <si>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</si>
  <si>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</si>
  <si>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Meta no programada no obstante la alcaldia tien un avance del 7%</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</si>
  <si>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</si>
  <si>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</si>
  <si>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</si>
  <si>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La meta alcanzó un 100,00% del programado para la vigencia.</t>
  </si>
  <si>
    <t>Inspección, Vigilancia y Control</t>
  </si>
  <si>
    <t>Realizar 11.105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</si>
  <si>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</si>
  <si>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</si>
  <si>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</si>
  <si>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</si>
  <si>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</si>
  <si>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</si>
  <si>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</si>
  <si>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</si>
  <si>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expedientes a cargo de las inspecciones de policía impulsados</t>
  </si>
  <si>
    <t xml:space="preserve">Reporte DGP Radicado No. 20252200137553
Fecha: 07-04-2025
</t>
  </si>
  <si>
    <t xml:space="preserve">Expedientes a cargo de las Inspecciones de Policia impulsados </t>
  </si>
  <si>
    <t>Reporte metas de la DGP para los planes de Gestion de las Alcaldias Locales segun radicado No 20252200258243</t>
  </si>
  <si>
    <t>Más el 18% de lo programado</t>
  </si>
  <si>
    <t>Reporte de seguimiento de impulsos procesales. Aplicativo ARCO</t>
  </si>
  <si>
    <t>La meta alcanzó un 93,29% del programado para la vigencia.</t>
  </si>
  <si>
    <t>Proferir 2.697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</si>
  <si>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</si>
  <si>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</si>
  <si>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</si>
  <si>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fallos de fondo en primera instancia proferidos</t>
  </si>
  <si>
    <t xml:space="preserve">fallos de fondo de primera instancia proferidos </t>
  </si>
  <si>
    <t>Más el 4% de lo programado</t>
  </si>
  <si>
    <t>Reporte de seguimiento de fallos de fondo de actuaciones de policía. Aplicativo ARCO</t>
  </si>
  <si>
    <t>La meta alcanzó un 81,68% del programado para la vigencia.</t>
  </si>
  <si>
    <t>Terminar (archivar) 40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</si>
  <si>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</si>
  <si>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</si>
  <si>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</si>
  <si>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</si>
  <si>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</si>
  <si>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actuaciones administrativas terminadas (archivadas)</t>
  </si>
  <si>
    <t xml:space="preserve">Actuaciones administrativas terminadas archivadas </t>
  </si>
  <si>
    <t>Más el 67% de lo programado</t>
  </si>
  <si>
    <t>Reporte de seguimiento de actuaciones administrativas terminadas. Aplicativo SI ACTUA</t>
  </si>
  <si>
    <t>Terminar 38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</si>
  <si>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</si>
  <si>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</si>
  <si>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</si>
  <si>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actuaciones Administrativas terminadas hasta la primera instancia</t>
  </si>
  <si>
    <t xml:space="preserve">Actuaciones administrativas terminadas en primera instancia  </t>
  </si>
  <si>
    <t>Más el 75% de lo programado</t>
  </si>
  <si>
    <t>Reporte de seguimiento de actuaciones administrativas terminadas por vía gubernativa. Aplicativo SI ACTUA</t>
  </si>
  <si>
    <t>La meta alcanzó un 68,42% del programado para la vigencia.</t>
  </si>
  <si>
    <t>Realizar 111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</si>
  <si>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</si>
  <si>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</si>
  <si>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</si>
  <si>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</si>
  <si>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</si>
  <si>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Para el I trimestre (ENERO-FEBRERO-MARZO) se tenia programados 15 operativos de inspección, vigilancia y control de espacio publico y se realizaron 35 operativos , teniendo en cuenta que se contó con el talento humano para realizar esta actividad, permitiendo cumplir la meta propuesta</t>
  </si>
  <si>
    <t xml:space="preserve">Carpetas con acta de operativos </t>
  </si>
  <si>
    <t>Para el IV trimestre (ABRIL,MAYO,JUNIO) se tenia programados 32 operativos de inspección, vigilancia y control en materia de espacio publico y se realizaron 29, teniendo en cuenta que se contó con el talento humano para realizar esta actividad, permitiendo aportar al resago de los meses anteriores.</t>
  </si>
  <si>
    <t>Documentos de evidencia de operativos</t>
  </si>
  <si>
    <t>Para el I trimestre (JULIO-AGOSTO-SEPTIEMBRE) se tenia programados 32 operativos de inspección, vigilancia y control de espacio publico y se realizaron 38 operativos , teniendo en cuenta que se contó con el talento humano para realizar esta actividad, permitiendo cumplir la meta propuesta</t>
  </si>
  <si>
    <t>Se adjuntan las evidencias (Formatos) de realización de los operativos descritos en el trimestre objeto de seguimiento</t>
  </si>
  <si>
    <t>La meta alcanzó un 91,89% del programado para la vigencia.</t>
  </si>
  <si>
    <t>Realizar 232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</si>
  <si>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</si>
  <si>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</si>
  <si>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</si>
  <si>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Para el I trimestre (ENERO-FEBRERO-MARZO) se tenia programados 81 operativos de inspección, vigilancia y control de actvidad economica y se realizaron 81 operativos, teniendo en cuenta que se contó con el talento humano para realizar esta actividad, permitiendo cumplir la meta propuesta</t>
  </si>
  <si>
    <t>Para el IV trimestre (ABRIL,MAYO,JUNIO) se tenia programados 69 operativos de inspección, vigilancia y control en materia y se realizaron 67, teniendo en cuenta que se contó con el talento humano para realizar esta actividad, permitiendo aportar al resago de los meses anteriores.</t>
  </si>
  <si>
    <t>Para el I trimestre (JULIO-AGOSTO-SEPTIEMBRE) se tenia programados 69 operativos de inspección, vigilancia y control de actividad econoomica y se realizaron 77 operativos , teniendo en cuenta que se contó con el talento humano para realizar esta actividad, permitiendo cumplir la meta propuesta</t>
  </si>
  <si>
    <t>La meta alcanzó un 96,98% del programado para la vigencia.</t>
  </si>
  <si>
    <t>Realizar 86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</si>
  <si>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</si>
  <si>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</si>
  <si>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</si>
  <si>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Para el I trimestre (ENERO-FEBRERO-MARZO) se tenia programados 7 operativos de inspección, vigilancia en actividad ambiental  y se realizaron 34 operativos, teniendo en cuenta que se contó con el talento humano para realizar esta actividad, permitiendo cumplir la meta propuest</t>
  </si>
  <si>
    <t>Para el IV trimestre (ABRIL,MAYO,JUNIO) se tenia programados 26 operativos de inspección, vigilancia y control en materia  ambiental y se realizaron 24, teniendo en cuenta que se contó con el talento humano para realizar esta actividad, permitiendo aportar al resago de los meses anteriores.</t>
  </si>
  <si>
    <t>Para el III trimestre (JULIO-AGOSTO-SEPTIEMBRE) se tenia programados 27 operativos de inspección, vigilancia en actividad ambiental  y se realizaron  40 operativos, teniendo en cuenta que se contó con el talento humano para realizar estas actividades, permitiendo cumplir la meta propuesta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</si>
  <si>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</si>
  <si>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</si>
  <si>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</si>
  <si>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</si>
  <si>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</si>
  <si>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</si>
  <si>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</si>
  <si>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</si>
  <si>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</si>
  <si>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</si>
  <si>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</si>
  <si>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</si>
  <si>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</si>
  <si>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</si>
  <si>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Inspección ambiental: Obtuvo calificación del 86%
Reporte consumo de agua y energía: información al día con corte a 30 de junio de 2025
Reporte consumo de papel: información al día con corte a 30 de mayo de 2025
Reporte ciclistas: información al día con corte a 30 de junio de 2025</t>
  </si>
  <si>
    <t>Reporte meta ambiental de la OAP</t>
  </si>
  <si>
    <t>No programada</t>
  </si>
  <si>
    <t>La meta alcanzó un 62,50% del programado para la vigencia.</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</si>
  <si>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</si>
  <si>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</si>
  <si>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</si>
  <si>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</si>
  <si>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</si>
  <si>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</si>
  <si>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</si>
  <si>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</si>
  <si>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</si>
  <si>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</si>
  <si>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</si>
  <si>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</si>
  <si>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</si>
  <si>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 xml:space="preserve">La Alcaldía Local de Los Mártires, cumplió 103 requisitos, de los 104 que debe cumplir para el tirmestre relacionado;  marcó como desactualizados los puntos: 4.3 (1 ítem señalado) = 1 en total. </t>
  </si>
  <si>
    <t>Reporte meta de la Oficina Asesora de comunicaciones radicado No 20251400254903</t>
  </si>
  <si>
    <t xml:space="preserve">La Alcaldía Local de Los Mártires, cumplió 103 requisitos, de los 104 que debe cumplir para el trimestre relacionado;  marcó como desactualizados los puntos: 4.3 (1 ítem señalado) = 1 en total. </t>
  </si>
  <si>
    <t>Reporte de la Oficina Asesora de Comunicaciones a través de memorando 20251400383993.</t>
  </si>
  <si>
    <t>La meta alcanzó un 66,36% del programado para la vigencia.</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</si>
  <si>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</si>
  <si>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</si>
  <si>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</si>
  <si>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</si>
  <si>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</si>
  <si>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</si>
  <si>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 xml:space="preserve">La alcaldia realizo la actividad programada para el periodo </t>
  </si>
  <si>
    <t xml:space="preserve">Listado de asistencia </t>
  </si>
  <si>
    <t>La meta alcanzó un 50,00% del programado para la vigencia.</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</si>
  <si>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</si>
  <si>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</si>
  <si>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</si>
  <si>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</si>
  <si>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</si>
  <si>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</si>
  <si>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</si>
  <si>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</si>
  <si>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</si>
  <si>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</si>
  <si>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De los 7 requerimientos ciudadanos instaurados la alcaldia dio respuesta al 100%</t>
  </si>
  <si>
    <t>Segun respuesta a requerimientos Ciudadanos  Radicado No. 20254600138593
Fecha: 07-04-2025</t>
  </si>
  <si>
    <t>No programado</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</si>
  <si>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</si>
  <si>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</si>
  <si>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</si>
  <si>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</si>
  <si>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</si>
  <si>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</si>
  <si>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</si>
  <si>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</si>
  <si>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De los 28 requerimientos ciudadanos instaurados la alcaldia dio respuesta a 12 equivalente a 42,86%</t>
  </si>
  <si>
    <t>Segun respuesta a requerimientos Ciudadanos  Radicado No. 20254600138593
Fecha: 07-04-2026  y Radicado No. 20254600193883
Fecha: 23-05-2025</t>
  </si>
  <si>
    <t xml:space="preserve">La alcaldia dio respuesta a 23 requerimientos de los 36 instaurados en el periodo </t>
  </si>
  <si>
    <t xml:space="preserve">Segun radicado No 20254600258433 de la oficina de Atencion a la Ciudadania  </t>
  </si>
  <si>
    <t>Se repondió oportunamente 44 de 48 requerimientos.</t>
  </si>
  <si>
    <t>Reporte de la Subsecretaría de Gestión Institucional - Servicio de Atención a la Ciudadanía a través de memorando 20254600383923.</t>
  </si>
  <si>
    <t>La meta alcanzó un 49,60%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</si>
  <si>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</si>
  <si>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</si>
  <si>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</si>
  <si>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</si>
  <si>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</si>
  <si>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</si>
  <si>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</si>
  <si>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</si>
  <si>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Quedaron en el proceso de identificación, no entregaron la matriz de activos.</t>
  </si>
  <si>
    <t xml:space="preserve">Segun radicado No 20254400249683 de la DTI  </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</si>
  <si>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</si>
  <si>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</si>
  <si>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</si>
  <si>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</si>
  <si>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</si>
  <si>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</si>
  <si>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La meta alcanzó un 0% del programado para la vigencia.
Meta No Programada para los trimestres I, II ni III.</t>
  </si>
  <si>
    <t>Total metas transversales (20%)</t>
  </si>
  <si>
    <t xml:space="preserve">Total plan de gestión </t>
  </si>
  <si>
    <t>Planeación</t>
  </si>
  <si>
    <t>Obligaciones por pagar - Presupuesto</t>
  </si>
  <si>
    <t>Presupuesto</t>
  </si>
  <si>
    <t>Contratación</t>
  </si>
  <si>
    <t>Planeación - Sipse Local</t>
  </si>
  <si>
    <t>IVC</t>
  </si>
  <si>
    <t>EQUIPO RESPONSABLE SUGERIDO</t>
  </si>
  <si>
    <t>PIGA</t>
  </si>
  <si>
    <t>Prensa Local</t>
  </si>
  <si>
    <t>Promotor de mejora</t>
  </si>
  <si>
    <t>Gestion PQRS</t>
  </si>
  <si>
    <t>Ingeniero de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</si>
</sst>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0.000%"/>
  </numFmts>
  <fonts count="19"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sz val="11"/>
      <color rgb="FF000000"/>
      <name val="Aptos Narrow"/>
      <family val="2"/>
    </font>
    <font>
      <b/>
      <sz val="11"/>
      <color rgb="FF0070C0"/>
      <name val="Calibri Light"/>
      <family val="2"/>
      <scheme val="major"/>
    </font>
  </fonts>
  <fills count="13">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rgb="FFFFC000"/>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42">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5" fillId="0" borderId="0" xfId="0" applyFont="1" applyAlignment="1">
      <alignment horizontal="justify" vertical="center" wrapText="1"/>
    </xf>
    <xf numFmtId="0" fontId="5" fillId="9" borderId="1" xfId="0" applyFont="1" applyFill="1" applyBorder="1" applyAlignment="1">
      <alignment horizontal="center" vertical="center" wrapText="1"/>
    </xf>
    <xf numFmtId="1" fontId="5" fillId="9" borderId="1" xfId="3" applyNumberFormat="1" applyFont="1" applyFill="1" applyBorder="1" applyAlignment="1" applyProtection="1">
      <alignment horizontal="center" vertical="center" wrapText="1"/>
      <protection locked="0"/>
    </xf>
    <xf numFmtId="1" fontId="5" fillId="9" borderId="1" xfId="3" applyNumberFormat="1" applyFont="1" applyFill="1" applyBorder="1" applyAlignment="1">
      <alignment horizontal="center" vertical="center" wrapText="1"/>
    </xf>
    <xf numFmtId="10" fontId="5" fillId="0" borderId="1" xfId="0" applyNumberFormat="1" applyFont="1" applyBorder="1" applyAlignment="1">
      <alignment horizontal="justify" vertical="center" wrapText="1"/>
    </xf>
    <xf numFmtId="10" fontId="1" fillId="0" borderId="1" xfId="1" applyNumberFormat="1" applyFont="1" applyBorder="1" applyAlignment="1">
      <alignment horizontal="justify" vertical="center" wrapText="1"/>
    </xf>
    <xf numFmtId="9" fontId="1" fillId="0" borderId="1" xfId="1" applyFont="1" applyBorder="1" applyAlignment="1">
      <alignment horizontal="right" vertical="center" wrapText="1"/>
    </xf>
    <xf numFmtId="0" fontId="1" fillId="0" borderId="1" xfId="0" applyFont="1" applyBorder="1" applyAlignment="1">
      <alignment horizontal="right" vertical="center" wrapText="1"/>
    </xf>
    <xf numFmtId="164"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0" fontId="7" fillId="3" borderId="1" xfId="1" applyNumberFormat="1" applyFont="1" applyFill="1" applyBorder="1" applyAlignment="1">
      <alignment horizontal="right" wrapText="1"/>
    </xf>
    <xf numFmtId="1"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10"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9" fontId="5" fillId="0" borderId="1" xfId="1" applyFont="1" applyBorder="1" applyAlignment="1">
      <alignment horizontal="right"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0" fontId="15" fillId="0" borderId="1" xfId="0" applyFont="1" applyBorder="1" applyAlignment="1">
      <alignment vertical="center" wrapText="1"/>
    </xf>
    <xf numFmtId="0" fontId="1" fillId="0" borderId="0" xfId="0" applyFont="1" applyAlignment="1">
      <alignment horizontal="right" wrapText="1"/>
    </xf>
    <xf numFmtId="165" fontId="5" fillId="0" borderId="1" xfId="0" applyNumberFormat="1" applyFont="1" applyBorder="1" applyAlignment="1">
      <alignment horizontal="right" vertical="center" wrapText="1"/>
    </xf>
    <xf numFmtId="0" fontId="16" fillId="0" borderId="1" xfId="0" applyFont="1" applyBorder="1" applyAlignment="1">
      <alignment vertical="center" wrapText="1"/>
    </xf>
    <xf numFmtId="166" fontId="7" fillId="3" borderId="1" xfId="1" applyNumberFormat="1" applyFont="1" applyFill="1" applyBorder="1" applyAlignment="1">
      <alignment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9" fontId="1" fillId="0" borderId="1" xfId="0" applyNumberFormat="1" applyFont="1" applyBorder="1" applyAlignment="1">
      <alignment horizontal="right" vertical="center" wrapText="1"/>
    </xf>
    <xf numFmtId="9" fontId="5" fillId="0" borderId="1" xfId="0"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1" fontId="5" fillId="0" borderId="1" xfId="1" applyNumberFormat="1" applyFont="1" applyBorder="1" applyAlignment="1">
      <alignment horizontal="justify" vertical="center" wrapText="1"/>
    </xf>
    <xf numFmtId="164" fontId="5" fillId="0" borderId="1" xfId="0" applyNumberFormat="1" applyFont="1" applyBorder="1" applyAlignment="1">
      <alignment horizontal="justify" vertical="center" wrapText="1"/>
    </xf>
    <xf numFmtId="9" fontId="5" fillId="9" borderId="1" xfId="1" applyFont="1" applyFill="1" applyBorder="1" applyAlignment="1">
      <alignment horizontal="right" vertical="center" wrapText="1"/>
    </xf>
    <xf numFmtId="164" fontId="5" fillId="9" borderId="1" xfId="0" applyNumberFormat="1" applyFont="1" applyFill="1" applyBorder="1" applyAlignment="1">
      <alignment horizontal="right" vertical="center" wrapText="1"/>
    </xf>
    <xf numFmtId="10" fontId="5" fillId="9" borderId="1" xfId="1" applyNumberFormat="1" applyFont="1" applyFill="1" applyBorder="1" applyAlignment="1">
      <alignment horizontal="right" vertical="center" wrapText="1"/>
    </xf>
    <xf numFmtId="0" fontId="15" fillId="9" borderId="1" xfId="0" applyFont="1" applyFill="1" applyBorder="1" applyAlignment="1">
      <alignmen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10" fontId="1" fillId="0" borderId="1" xfId="1" applyNumberFormat="1" applyFont="1" applyFill="1" applyBorder="1" applyAlignment="1">
      <alignment horizontal="right" vertical="center" wrapText="1"/>
    </xf>
    <xf numFmtId="0" fontId="17" fillId="0" borderId="13" xfId="0" applyFont="1" applyBorder="1" applyAlignment="1">
      <alignment wrapText="1"/>
    </xf>
    <xf numFmtId="0" fontId="17" fillId="0" borderId="4" xfId="0" applyFont="1" applyBorder="1" applyAlignment="1">
      <alignment wrapText="1"/>
    </xf>
    <xf numFmtId="0" fontId="1" fillId="9" borderId="1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11" xfId="0" applyFont="1" applyFill="1" applyBorder="1" applyAlignment="1">
      <alignment horizontal="justify" vertical="center" wrapText="1"/>
    </xf>
    <xf numFmtId="0" fontId="1" fillId="9" borderId="14" xfId="0" applyFont="1" applyFill="1" applyBorder="1" applyAlignment="1">
      <alignment horizontal="left" vertical="center" wrapText="1"/>
    </xf>
    <xf numFmtId="0" fontId="1" fillId="9" borderId="13"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8" fillId="12" borderId="8" xfId="0" applyFont="1" applyFill="1" applyBorder="1" applyAlignment="1">
      <alignment horizontal="center"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1738319</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0"/>
  <sheetViews>
    <sheetView tabSelected="1" topLeftCell="D1" zoomScale="90" zoomScaleNormal="90" workbookViewId="0">
      <selection activeCell="V31" sqref="V31:V37"/>
    </sheetView>
  </sheetViews>
  <sheetFormatPr baseColWidth="10" defaultColWidth="10.85546875" defaultRowHeight="15" x14ac:dyDescent="0.25"/>
  <cols>
    <col min="1" max="1" width="4.140625" style="1" hidden="1" customWidth="1"/>
    <col min="2" max="2" width="25.5703125" style="1" hidden="1" customWidth="1"/>
    <col min="3" max="3" width="13.85546875" style="1" hidden="1" customWidth="1"/>
    <col min="4" max="4" width="8.140625" style="1" customWidth="1"/>
    <col min="5" max="5" width="44.28515625" style="1" bestFit="1" customWidth="1"/>
    <col min="6" max="6" width="10.85546875" style="1" customWidth="1"/>
    <col min="7" max="7" width="24.42578125" style="1" customWidth="1"/>
    <col min="8" max="8" width="30" style="1" customWidth="1"/>
    <col min="9" max="9" width="10" style="1" customWidth="1"/>
    <col min="10" max="10" width="18.42578125" style="1" customWidth="1"/>
    <col min="11" max="11" width="38" style="1" hidden="1" customWidth="1"/>
    <col min="12" max="15" width="4.7109375" style="1" customWidth="1"/>
    <col min="16" max="16" width="12.28515625" style="1" customWidth="1"/>
    <col min="17" max="17" width="17.85546875" style="1" customWidth="1"/>
    <col min="18" max="18" width="19.7109375" style="1" customWidth="1"/>
    <col min="19" max="19" width="21.7109375" style="1" customWidth="1"/>
    <col min="20" max="20" width="25.42578125" style="1" customWidth="1"/>
    <col min="21" max="21" width="25.42578125" style="1" hidden="1" customWidth="1"/>
    <col min="22" max="22" width="25.42578125" style="1" customWidth="1"/>
    <col min="23" max="25" width="16.5703125" style="1" hidden="1" customWidth="1"/>
    <col min="26" max="26" width="40.28515625" style="1" hidden="1" customWidth="1"/>
    <col min="27" max="30" width="16.5703125" style="1" hidden="1" customWidth="1"/>
    <col min="31" max="31" width="33.42578125" style="1" hidden="1" customWidth="1"/>
    <col min="32" max="35" width="16.5703125" style="1" hidden="1" customWidth="1"/>
    <col min="36" max="36" width="43.7109375" style="1" hidden="1" customWidth="1"/>
    <col min="37" max="37" width="16.5703125" style="1" hidden="1" customWidth="1"/>
    <col min="38" max="39" width="22" style="1" customWidth="1"/>
    <col min="40" max="40" width="16.5703125" style="1" customWidth="1"/>
    <col min="41" max="41" width="34.85546875" style="1" customWidth="1"/>
    <col min="42" max="44" width="16.5703125" style="1" customWidth="1"/>
    <col min="45" max="45" width="21.5703125" style="1" customWidth="1"/>
    <col min="46" max="46" width="39.42578125" style="1" customWidth="1"/>
    <col min="47" max="16384" width="10.85546875" style="1"/>
  </cols>
  <sheetData>
    <row r="1" spans="1:46" s="33" customFormat="1" ht="70.5" customHeight="1" x14ac:dyDescent="0.25">
      <c r="A1" s="102" t="s">
        <v>0</v>
      </c>
      <c r="B1" s="103"/>
      <c r="C1" s="103"/>
      <c r="D1" s="103"/>
      <c r="E1" s="103"/>
      <c r="F1" s="103"/>
      <c r="G1" s="103"/>
      <c r="H1" s="103"/>
      <c r="I1" s="103"/>
      <c r="J1" s="103"/>
      <c r="K1" s="103"/>
      <c r="L1" s="104" t="s">
        <v>1</v>
      </c>
      <c r="M1" s="104"/>
      <c r="N1" s="104"/>
      <c r="O1" s="104"/>
      <c r="P1" s="104"/>
    </row>
    <row r="2" spans="1:46" s="35" customFormat="1" ht="23.45" customHeight="1" x14ac:dyDescent="0.25">
      <c r="A2" s="106" t="s">
        <v>2</v>
      </c>
      <c r="B2" s="107"/>
      <c r="C2" s="107"/>
      <c r="D2" s="107"/>
      <c r="E2" s="107"/>
      <c r="F2" s="107"/>
      <c r="G2" s="107"/>
      <c r="H2" s="107"/>
      <c r="I2" s="107"/>
      <c r="J2" s="107"/>
      <c r="K2" s="107"/>
      <c r="L2" s="34"/>
      <c r="M2" s="34"/>
      <c r="N2" s="34"/>
      <c r="O2" s="34"/>
      <c r="P2" s="34"/>
    </row>
    <row r="3" spans="1:46" s="33" customFormat="1" x14ac:dyDescent="0.25"/>
    <row r="4" spans="1:46" s="33" customFormat="1" ht="29.1" customHeight="1" x14ac:dyDescent="0.25">
      <c r="F4" s="95" t="s">
        <v>3</v>
      </c>
      <c r="G4" s="96"/>
      <c r="H4" s="96"/>
      <c r="I4" s="96"/>
      <c r="J4" s="96"/>
      <c r="K4" s="97"/>
    </row>
    <row r="5" spans="1:46" s="33" customFormat="1" ht="15" customHeight="1" x14ac:dyDescent="0.25">
      <c r="F5" s="2" t="s">
        <v>4</v>
      </c>
      <c r="G5" s="2" t="s">
        <v>5</v>
      </c>
      <c r="H5" s="95" t="s">
        <v>6</v>
      </c>
      <c r="I5" s="96"/>
      <c r="J5" s="96"/>
      <c r="K5" s="97"/>
    </row>
    <row r="6" spans="1:46" s="33" customFormat="1" x14ac:dyDescent="0.25">
      <c r="F6" s="32">
        <v>1</v>
      </c>
      <c r="G6" s="32" t="s">
        <v>7</v>
      </c>
      <c r="H6" s="98" t="s">
        <v>8</v>
      </c>
      <c r="I6" s="98"/>
      <c r="J6" s="98"/>
      <c r="K6" s="98"/>
    </row>
    <row r="7" spans="1:46" s="33" customFormat="1" ht="41.25" customHeight="1" x14ac:dyDescent="0.25">
      <c r="F7" s="32">
        <v>2</v>
      </c>
      <c r="G7" s="32" t="s">
        <v>9</v>
      </c>
      <c r="H7" s="98" t="s">
        <v>10</v>
      </c>
      <c r="I7" s="98"/>
      <c r="J7" s="98"/>
      <c r="K7" s="98"/>
    </row>
    <row r="8" spans="1:46" s="33" customFormat="1" ht="64.5" customHeight="1" x14ac:dyDescent="0.25">
      <c r="F8" s="32">
        <v>3</v>
      </c>
      <c r="G8" s="32" t="s">
        <v>11</v>
      </c>
      <c r="H8" s="98" t="s">
        <v>12</v>
      </c>
      <c r="I8" s="98"/>
      <c r="J8" s="98"/>
      <c r="K8" s="98"/>
    </row>
    <row r="9" spans="1:46" s="33" customFormat="1" ht="36.75" customHeight="1" x14ac:dyDescent="0.25">
      <c r="F9" s="89">
        <v>4</v>
      </c>
      <c r="G9" s="89" t="s">
        <v>13</v>
      </c>
      <c r="H9" s="99" t="s">
        <v>14</v>
      </c>
      <c r="I9" s="99"/>
      <c r="J9" s="99"/>
      <c r="K9" s="99"/>
    </row>
    <row r="10" spans="1:46" s="33" customFormat="1" ht="36.75" customHeight="1" x14ac:dyDescent="0.25">
      <c r="F10" s="93">
        <v>5</v>
      </c>
      <c r="G10" s="93" t="s">
        <v>15</v>
      </c>
      <c r="H10" s="100" t="s">
        <v>16</v>
      </c>
      <c r="I10" s="100"/>
      <c r="J10" s="100"/>
      <c r="K10" s="100"/>
    </row>
    <row r="11" spans="1:46" s="33" customFormat="1" ht="36.75" customHeight="1" x14ac:dyDescent="0.25">
      <c r="F11" s="88">
        <v>6</v>
      </c>
      <c r="G11" s="88" t="s">
        <v>17</v>
      </c>
      <c r="H11" s="101" t="s">
        <v>18</v>
      </c>
      <c r="I11" s="101"/>
      <c r="J11" s="101"/>
      <c r="K11" s="101"/>
    </row>
    <row r="12" spans="1:46" s="33" customFormat="1" x14ac:dyDescent="0.25"/>
    <row r="13" spans="1:46" ht="14.45" customHeight="1" x14ac:dyDescent="0.25">
      <c r="A13" s="94" t="s">
        <v>19</v>
      </c>
      <c r="B13" s="94"/>
      <c r="C13" s="94" t="s">
        <v>20</v>
      </c>
      <c r="D13" s="94" t="s">
        <v>21</v>
      </c>
      <c r="E13" s="94"/>
      <c r="F13" s="94"/>
      <c r="G13" s="105" t="s">
        <v>22</v>
      </c>
      <c r="H13" s="105"/>
      <c r="I13" s="105"/>
      <c r="J13" s="105"/>
      <c r="K13" s="105"/>
      <c r="L13" s="105"/>
      <c r="M13" s="105"/>
      <c r="N13" s="105"/>
      <c r="O13" s="105"/>
      <c r="P13" s="105"/>
      <c r="Q13" s="105"/>
      <c r="R13" s="94" t="s">
        <v>23</v>
      </c>
      <c r="S13" s="94"/>
      <c r="T13" s="94"/>
      <c r="U13" s="94"/>
      <c r="V13" s="94"/>
      <c r="W13" s="108" t="s">
        <v>24</v>
      </c>
      <c r="X13" s="109"/>
      <c r="Y13" s="109"/>
      <c r="Z13" s="109"/>
      <c r="AA13" s="110"/>
      <c r="AB13" s="114" t="s">
        <v>25</v>
      </c>
      <c r="AC13" s="115"/>
      <c r="AD13" s="115"/>
      <c r="AE13" s="115"/>
      <c r="AF13" s="116"/>
      <c r="AG13" s="120" t="s">
        <v>26</v>
      </c>
      <c r="AH13" s="121"/>
      <c r="AI13" s="121"/>
      <c r="AJ13" s="121"/>
      <c r="AK13" s="122"/>
      <c r="AL13" s="126" t="s">
        <v>27</v>
      </c>
      <c r="AM13" s="127"/>
      <c r="AN13" s="127"/>
      <c r="AO13" s="127"/>
      <c r="AP13" s="128"/>
      <c r="AQ13" s="132" t="s">
        <v>28</v>
      </c>
      <c r="AR13" s="133"/>
      <c r="AS13" s="133"/>
      <c r="AT13" s="134"/>
    </row>
    <row r="14" spans="1:46" ht="14.45" customHeight="1" x14ac:dyDescent="0.25">
      <c r="A14" s="94"/>
      <c r="B14" s="94"/>
      <c r="C14" s="94"/>
      <c r="D14" s="94"/>
      <c r="E14" s="94"/>
      <c r="F14" s="94"/>
      <c r="G14" s="105"/>
      <c r="H14" s="105"/>
      <c r="I14" s="105"/>
      <c r="J14" s="105"/>
      <c r="K14" s="105"/>
      <c r="L14" s="105"/>
      <c r="M14" s="105"/>
      <c r="N14" s="105"/>
      <c r="O14" s="105"/>
      <c r="P14" s="105"/>
      <c r="Q14" s="105"/>
      <c r="R14" s="94"/>
      <c r="S14" s="94"/>
      <c r="T14" s="94"/>
      <c r="U14" s="94"/>
      <c r="V14" s="94"/>
      <c r="W14" s="111"/>
      <c r="X14" s="112"/>
      <c r="Y14" s="112"/>
      <c r="Z14" s="112"/>
      <c r="AA14" s="113"/>
      <c r="AB14" s="117"/>
      <c r="AC14" s="118"/>
      <c r="AD14" s="118"/>
      <c r="AE14" s="118"/>
      <c r="AF14" s="119"/>
      <c r="AG14" s="123"/>
      <c r="AH14" s="124"/>
      <c r="AI14" s="124"/>
      <c r="AJ14" s="124"/>
      <c r="AK14" s="125"/>
      <c r="AL14" s="129"/>
      <c r="AM14" s="130"/>
      <c r="AN14" s="130"/>
      <c r="AO14" s="130"/>
      <c r="AP14" s="131"/>
      <c r="AQ14" s="135"/>
      <c r="AR14" s="136"/>
      <c r="AS14" s="136"/>
      <c r="AT14" s="137"/>
    </row>
    <row r="15" spans="1:46" ht="45" x14ac:dyDescent="0.25">
      <c r="A15" s="2" t="s">
        <v>29</v>
      </c>
      <c r="B15" s="2" t="s">
        <v>30</v>
      </c>
      <c r="C15" s="94"/>
      <c r="D15" s="2" t="s">
        <v>31</v>
      </c>
      <c r="E15" s="2" t="s">
        <v>32</v>
      </c>
      <c r="F15" s="2" t="s">
        <v>33</v>
      </c>
      <c r="G15" s="18" t="s">
        <v>34</v>
      </c>
      <c r="H15" s="18" t="s">
        <v>35</v>
      </c>
      <c r="I15" s="18" t="s">
        <v>36</v>
      </c>
      <c r="J15" s="18" t="s">
        <v>37</v>
      </c>
      <c r="K15" s="18" t="s">
        <v>38</v>
      </c>
      <c r="L15" s="18" t="s">
        <v>39</v>
      </c>
      <c r="M15" s="18" t="s">
        <v>40</v>
      </c>
      <c r="N15" s="18" t="s">
        <v>41</v>
      </c>
      <c r="O15" s="18" t="s">
        <v>42</v>
      </c>
      <c r="P15" s="18" t="s">
        <v>43</v>
      </c>
      <c r="Q15" s="18" t="s">
        <v>44</v>
      </c>
      <c r="R15" s="2" t="s">
        <v>45</v>
      </c>
      <c r="S15" s="2" t="s">
        <v>46</v>
      </c>
      <c r="T15" s="2" t="s">
        <v>47</v>
      </c>
      <c r="U15" s="2" t="s">
        <v>48</v>
      </c>
      <c r="V15" s="139" t="s">
        <v>305</v>
      </c>
      <c r="W15" s="3" t="s">
        <v>49</v>
      </c>
      <c r="X15" s="3" t="s">
        <v>50</v>
      </c>
      <c r="Y15" s="3" t="s">
        <v>51</v>
      </c>
      <c r="Z15" s="3" t="s">
        <v>52</v>
      </c>
      <c r="AA15" s="3" t="s">
        <v>53</v>
      </c>
      <c r="AB15" s="21" t="s">
        <v>49</v>
      </c>
      <c r="AC15" s="21" t="s">
        <v>50</v>
      </c>
      <c r="AD15" s="21" t="s">
        <v>51</v>
      </c>
      <c r="AE15" s="21" t="s">
        <v>52</v>
      </c>
      <c r="AF15" s="21" t="s">
        <v>53</v>
      </c>
      <c r="AG15" s="22" t="s">
        <v>49</v>
      </c>
      <c r="AH15" s="22" t="s">
        <v>50</v>
      </c>
      <c r="AI15" s="22" t="s">
        <v>51</v>
      </c>
      <c r="AJ15" s="22" t="s">
        <v>52</v>
      </c>
      <c r="AK15" s="22" t="s">
        <v>53</v>
      </c>
      <c r="AL15" s="23" t="s">
        <v>49</v>
      </c>
      <c r="AM15" s="23" t="s">
        <v>50</v>
      </c>
      <c r="AN15" s="23" t="s">
        <v>51</v>
      </c>
      <c r="AO15" s="23" t="s">
        <v>52</v>
      </c>
      <c r="AP15" s="23" t="s">
        <v>53</v>
      </c>
      <c r="AQ15" s="4" t="s">
        <v>49</v>
      </c>
      <c r="AR15" s="4" t="s">
        <v>50</v>
      </c>
      <c r="AS15" s="4" t="s">
        <v>51</v>
      </c>
      <c r="AT15" s="4" t="s">
        <v>52</v>
      </c>
    </row>
    <row r="16" spans="1:46" s="27" customFormat="1" ht="135" x14ac:dyDescent="0.25">
      <c r="A16" s="20">
        <v>4</v>
      </c>
      <c r="B16" s="19" t="s">
        <v>54</v>
      </c>
      <c r="C16" s="19" t="s">
        <v>55</v>
      </c>
      <c r="D16" s="20">
        <v>1</v>
      </c>
      <c r="E16" s="19" t="s">
        <v>56</v>
      </c>
      <c r="F16" s="19" t="s">
        <v>57</v>
      </c>
      <c r="G16" s="19" t="s">
        <v>58</v>
      </c>
      <c r="H16" s="19" t="s">
        <v>59</v>
      </c>
      <c r="I16" s="28" t="s">
        <v>60</v>
      </c>
      <c r="J16" s="19" t="s">
        <v>61</v>
      </c>
      <c r="K16" s="19" t="s">
        <v>62</v>
      </c>
      <c r="L16" s="29">
        <v>0</v>
      </c>
      <c r="M16" s="29">
        <v>0.1</v>
      </c>
      <c r="N16" s="29">
        <v>0.2</v>
      </c>
      <c r="O16" s="29">
        <v>0.4</v>
      </c>
      <c r="P16" s="29">
        <f t="shared" ref="P16:P22" si="0">O16</f>
        <v>0.4</v>
      </c>
      <c r="Q16" s="19" t="s">
        <v>63</v>
      </c>
      <c r="R16" s="19" t="s">
        <v>64</v>
      </c>
      <c r="S16" s="19" t="s">
        <v>65</v>
      </c>
      <c r="T16" s="19" t="s">
        <v>66</v>
      </c>
      <c r="U16" s="19" t="s">
        <v>67</v>
      </c>
      <c r="V16" s="138" t="s">
        <v>299</v>
      </c>
      <c r="W16" s="56">
        <f t="shared" ref="W16:W29" si="1">L16</f>
        <v>0</v>
      </c>
      <c r="X16" s="59">
        <v>0</v>
      </c>
      <c r="Y16" s="59">
        <f>IFERROR(IF(X16/W16&gt;100%,100%,X16/W16),0)</f>
        <v>0</v>
      </c>
      <c r="Z16" s="19" t="s">
        <v>68</v>
      </c>
      <c r="AA16" s="19" t="s">
        <v>69</v>
      </c>
      <c r="AB16" s="29">
        <f t="shared" ref="AB16:AB29" si="2">M16</f>
        <v>0.1</v>
      </c>
      <c r="AC16" s="81">
        <v>2.1000000000000001E-2</v>
      </c>
      <c r="AD16" s="55">
        <f>IFERROR(IF(AC16/AB16&gt;100%,100%,AC16/AB16),0)</f>
        <v>0.21</v>
      </c>
      <c r="AE16" s="19" t="s">
        <v>70</v>
      </c>
      <c r="AF16" s="19" t="s">
        <v>71</v>
      </c>
      <c r="AG16" s="56">
        <f t="shared" ref="AG16:AG29" si="3">N16</f>
        <v>0.2</v>
      </c>
      <c r="AH16" s="59">
        <v>4.4999999999999998E-2</v>
      </c>
      <c r="AI16" s="60">
        <f>IFERROR(IF(AH16/AG16&gt;100%,100%,AH16/AG16),0)</f>
        <v>0.22499999999999998</v>
      </c>
      <c r="AJ16" s="19" t="s">
        <v>72</v>
      </c>
      <c r="AK16" s="19" t="s">
        <v>73</v>
      </c>
      <c r="AL16" s="29">
        <f t="shared" ref="AL16:AL29" si="4">O16</f>
        <v>0.4</v>
      </c>
      <c r="AM16" s="19"/>
      <c r="AN16" s="55">
        <f>IFERROR(IF(AM16/AL16&gt;100%,100%,AM16/AL16),0)</f>
        <v>0</v>
      </c>
      <c r="AO16" s="19"/>
      <c r="AP16" s="19"/>
      <c r="AQ16" s="56">
        <f t="shared" ref="AQ16:AQ29" si="5">P16</f>
        <v>0.4</v>
      </c>
      <c r="AR16" s="58">
        <f>IFERROR(MAX(X16,AC16,AH16,AM16),0)</f>
        <v>4.4999999999999998E-2</v>
      </c>
      <c r="AS16" s="60">
        <f>IFERROR(IF(AR16/AQ16&gt;100%,100%,AR16/AQ16),0)</f>
        <v>0.11249999999999999</v>
      </c>
      <c r="AT16" s="19" t="s">
        <v>74</v>
      </c>
    </row>
    <row r="17" spans="1:46" s="27" customFormat="1" ht="90" x14ac:dyDescent="0.25">
      <c r="A17" s="20">
        <v>3</v>
      </c>
      <c r="B17" s="19" t="s">
        <v>75</v>
      </c>
      <c r="C17" s="19" t="s">
        <v>76</v>
      </c>
      <c r="D17" s="20">
        <v>2</v>
      </c>
      <c r="E17" s="19" t="s">
        <v>77</v>
      </c>
      <c r="F17" s="19" t="s">
        <v>57</v>
      </c>
      <c r="G17" s="19" t="s">
        <v>78</v>
      </c>
      <c r="H17" s="19" t="s">
        <v>79</v>
      </c>
      <c r="I17" s="19" t="s">
        <v>80</v>
      </c>
      <c r="J17" s="19" t="s">
        <v>61</v>
      </c>
      <c r="K17" s="19" t="s">
        <v>62</v>
      </c>
      <c r="L17" s="29">
        <v>0.1</v>
      </c>
      <c r="M17" s="29">
        <v>0.2</v>
      </c>
      <c r="N17" s="29">
        <v>0.4</v>
      </c>
      <c r="O17" s="29">
        <v>0.66</v>
      </c>
      <c r="P17" s="29">
        <f t="shared" si="0"/>
        <v>0.66</v>
      </c>
      <c r="Q17" s="19" t="s">
        <v>63</v>
      </c>
      <c r="R17" s="19" t="s">
        <v>81</v>
      </c>
      <c r="S17" s="19" t="s">
        <v>82</v>
      </c>
      <c r="T17" s="19" t="s">
        <v>66</v>
      </c>
      <c r="U17" s="19" t="s">
        <v>67</v>
      </c>
      <c r="V17" s="138" t="s">
        <v>300</v>
      </c>
      <c r="W17" s="56">
        <f t="shared" si="1"/>
        <v>0.1</v>
      </c>
      <c r="X17" s="59">
        <v>0.2656</v>
      </c>
      <c r="Y17" s="59">
        <f t="shared" ref="Y17:Y20" si="6">IFERROR(IF(X17/W17&gt;100%,100%,X17/W17),0)</f>
        <v>1</v>
      </c>
      <c r="Z17" s="19" t="s">
        <v>83</v>
      </c>
      <c r="AA17" s="19" t="s">
        <v>84</v>
      </c>
      <c r="AB17" s="29">
        <f t="shared" si="2"/>
        <v>0.2</v>
      </c>
      <c r="AC17" s="81">
        <v>0.41810000000000003</v>
      </c>
      <c r="AD17" s="55">
        <f t="shared" ref="AD17:AD20" si="7">IFERROR(IF(AC17/AB17&gt;100%,100%,AC17/AB17),0)</f>
        <v>1</v>
      </c>
      <c r="AE17" s="19" t="s">
        <v>85</v>
      </c>
      <c r="AF17" s="19" t="s">
        <v>71</v>
      </c>
      <c r="AG17" s="56">
        <f t="shared" si="3"/>
        <v>0.4</v>
      </c>
      <c r="AH17" s="59">
        <v>0.65269999999999995</v>
      </c>
      <c r="AI17" s="60">
        <f t="shared" ref="AI17:AI20" si="8">IFERROR(IF(AH17/AG17&gt;100%,100%,AH17/AG17),0)</f>
        <v>1</v>
      </c>
      <c r="AJ17" s="19" t="s">
        <v>86</v>
      </c>
      <c r="AK17" s="19" t="s">
        <v>87</v>
      </c>
      <c r="AL17" s="29">
        <f t="shared" si="4"/>
        <v>0.66</v>
      </c>
      <c r="AM17" s="19"/>
      <c r="AN17" s="55">
        <f t="shared" ref="AN17:AN29" si="9">IFERROR(IF(AM17/AL17&gt;100%,100%,AM17/AL17),0)</f>
        <v>0</v>
      </c>
      <c r="AO17" s="19"/>
      <c r="AP17" s="19"/>
      <c r="AQ17" s="56">
        <f t="shared" si="5"/>
        <v>0.66</v>
      </c>
      <c r="AR17" s="58">
        <f>IFERROR(MAX(X17,AC17,AH17,AM17),0)</f>
        <v>0.65269999999999995</v>
      </c>
      <c r="AS17" s="60">
        <f t="shared" ref="AS17:AS20" si="10">IFERROR(IF(AR17/AQ17&gt;100%,100%,AR17/AQ17),0)</f>
        <v>0.98893939393939378</v>
      </c>
      <c r="AT17" s="75" t="s">
        <v>88</v>
      </c>
    </row>
    <row r="18" spans="1:46" s="27" customFormat="1" ht="90" x14ac:dyDescent="0.25">
      <c r="A18" s="20">
        <v>3</v>
      </c>
      <c r="B18" s="19" t="s">
        <v>75</v>
      </c>
      <c r="C18" s="19" t="s">
        <v>76</v>
      </c>
      <c r="D18" s="20">
        <v>3</v>
      </c>
      <c r="E18" s="19" t="s">
        <v>89</v>
      </c>
      <c r="F18" s="19" t="s">
        <v>57</v>
      </c>
      <c r="G18" s="19" t="s">
        <v>90</v>
      </c>
      <c r="H18" s="19" t="s">
        <v>91</v>
      </c>
      <c r="I18" s="19" t="s">
        <v>92</v>
      </c>
      <c r="J18" s="19" t="s">
        <v>61</v>
      </c>
      <c r="K18" s="19" t="s">
        <v>62</v>
      </c>
      <c r="L18" s="29">
        <v>0.1</v>
      </c>
      <c r="M18" s="29">
        <v>0.2</v>
      </c>
      <c r="N18" s="29">
        <v>0.4</v>
      </c>
      <c r="O18" s="29">
        <v>0.63</v>
      </c>
      <c r="P18" s="29">
        <f t="shared" si="0"/>
        <v>0.63</v>
      </c>
      <c r="Q18" s="19" t="s">
        <v>63</v>
      </c>
      <c r="R18" s="19" t="s">
        <v>81</v>
      </c>
      <c r="S18" s="19" t="s">
        <v>82</v>
      </c>
      <c r="T18" s="19" t="s">
        <v>66</v>
      </c>
      <c r="U18" s="19" t="s">
        <v>67</v>
      </c>
      <c r="V18" s="138" t="s">
        <v>300</v>
      </c>
      <c r="W18" s="56">
        <f t="shared" si="1"/>
        <v>0.1</v>
      </c>
      <c r="X18" s="59">
        <v>0.17169999999999999</v>
      </c>
      <c r="Y18" s="59">
        <f t="shared" si="6"/>
        <v>1</v>
      </c>
      <c r="Z18" s="19" t="s">
        <v>83</v>
      </c>
      <c r="AA18" s="19" t="s">
        <v>84</v>
      </c>
      <c r="AB18" s="29">
        <f t="shared" si="2"/>
        <v>0.2</v>
      </c>
      <c r="AC18" s="81">
        <v>0.21859999999999999</v>
      </c>
      <c r="AD18" s="55">
        <f t="shared" si="7"/>
        <v>1</v>
      </c>
      <c r="AE18" s="19" t="s">
        <v>85</v>
      </c>
      <c r="AF18" s="19" t="s">
        <v>71</v>
      </c>
      <c r="AG18" s="56">
        <f t="shared" si="3"/>
        <v>0.4</v>
      </c>
      <c r="AH18" s="59">
        <v>0.37280000000000002</v>
      </c>
      <c r="AI18" s="60">
        <f t="shared" si="8"/>
        <v>0.93200000000000005</v>
      </c>
      <c r="AJ18" s="19" t="s">
        <v>93</v>
      </c>
      <c r="AK18" s="19" t="s">
        <v>87</v>
      </c>
      <c r="AL18" s="29">
        <f t="shared" si="4"/>
        <v>0.63</v>
      </c>
      <c r="AM18" s="19"/>
      <c r="AN18" s="55">
        <f t="shared" si="9"/>
        <v>0</v>
      </c>
      <c r="AO18" s="19"/>
      <c r="AP18" s="19"/>
      <c r="AQ18" s="56">
        <f t="shared" si="5"/>
        <v>0.63</v>
      </c>
      <c r="AR18" s="58">
        <f>IFERROR(MAX(X18,AC18,AH18,AM18),0)</f>
        <v>0.37280000000000002</v>
      </c>
      <c r="AS18" s="60">
        <f t="shared" si="10"/>
        <v>0.5917460317460318</v>
      </c>
      <c r="AT18" s="75" t="s">
        <v>94</v>
      </c>
    </row>
    <row r="19" spans="1:46" s="27" customFormat="1" ht="195" x14ac:dyDescent="0.25">
      <c r="A19" s="20">
        <v>3</v>
      </c>
      <c r="B19" s="19" t="s">
        <v>75</v>
      </c>
      <c r="C19" s="19" t="s">
        <v>76</v>
      </c>
      <c r="D19" s="20">
        <v>4</v>
      </c>
      <c r="E19" s="19" t="s">
        <v>95</v>
      </c>
      <c r="F19" s="19" t="s">
        <v>57</v>
      </c>
      <c r="G19" s="19" t="s">
        <v>96</v>
      </c>
      <c r="H19" s="19" t="s">
        <v>97</v>
      </c>
      <c r="I19" s="28" t="s">
        <v>98</v>
      </c>
      <c r="J19" s="19" t="s">
        <v>61</v>
      </c>
      <c r="K19" s="19" t="s">
        <v>62</v>
      </c>
      <c r="L19" s="29">
        <v>0.18</v>
      </c>
      <c r="M19" s="29">
        <v>0.35</v>
      </c>
      <c r="N19" s="29">
        <v>0.7</v>
      </c>
      <c r="O19" s="29">
        <v>0.97</v>
      </c>
      <c r="P19" s="29">
        <f t="shared" si="0"/>
        <v>0.97</v>
      </c>
      <c r="Q19" s="19" t="s">
        <v>63</v>
      </c>
      <c r="R19" s="19" t="s">
        <v>81</v>
      </c>
      <c r="S19" s="19" t="s">
        <v>82</v>
      </c>
      <c r="T19" s="19" t="s">
        <v>66</v>
      </c>
      <c r="U19" s="19" t="s">
        <v>67</v>
      </c>
      <c r="V19" s="138" t="s">
        <v>301</v>
      </c>
      <c r="W19" s="56">
        <f t="shared" si="1"/>
        <v>0.18</v>
      </c>
      <c r="X19" s="59">
        <v>0.15060000000000001</v>
      </c>
      <c r="Y19" s="59">
        <f>IFERROR(IF(X19/W19&gt;100%,100%,X19/W19),0)</f>
        <v>0.83666666666666678</v>
      </c>
      <c r="Z19" s="19" t="s">
        <v>99</v>
      </c>
      <c r="AA19" s="19" t="s">
        <v>84</v>
      </c>
      <c r="AB19" s="29">
        <f t="shared" si="2"/>
        <v>0.35</v>
      </c>
      <c r="AC19" s="81">
        <v>0.28100000000000003</v>
      </c>
      <c r="AD19" s="55">
        <f>IFERROR(IF(AC19/AB19&gt;100%,100%,AC19/AB19),0)</f>
        <v>0.80285714285714294</v>
      </c>
      <c r="AE19" s="19" t="s">
        <v>100</v>
      </c>
      <c r="AF19" s="19" t="s">
        <v>71</v>
      </c>
      <c r="AG19" s="56">
        <f t="shared" si="3"/>
        <v>0.7</v>
      </c>
      <c r="AH19" s="79">
        <v>0.68</v>
      </c>
      <c r="AI19" s="60">
        <f>IFERROR(IF(AH19/AG19&gt;100%,100%,AH19/AG19),0)</f>
        <v>0.97142857142857153</v>
      </c>
      <c r="AJ19" s="19" t="s">
        <v>101</v>
      </c>
      <c r="AK19" s="19" t="s">
        <v>102</v>
      </c>
      <c r="AL19" s="29">
        <f t="shared" si="4"/>
        <v>0.97</v>
      </c>
      <c r="AM19" s="19"/>
      <c r="AN19" s="55">
        <f t="shared" si="9"/>
        <v>0</v>
      </c>
      <c r="AO19" s="19"/>
      <c r="AP19" s="19"/>
      <c r="AQ19" s="56">
        <f t="shared" si="5"/>
        <v>0.97</v>
      </c>
      <c r="AR19" s="58">
        <f>IFERROR(MAX(X19,AC19,AH19,AM19),0)</f>
        <v>0.68</v>
      </c>
      <c r="AS19" s="60">
        <f>IFERROR(IF(AR19/AQ19&gt;100%,100%,AR19/AQ19),0)</f>
        <v>0.70103092783505161</v>
      </c>
      <c r="AT19" s="75" t="s">
        <v>103</v>
      </c>
    </row>
    <row r="20" spans="1:46" s="27" customFormat="1" ht="210" x14ac:dyDescent="0.25">
      <c r="A20" s="20">
        <v>3</v>
      </c>
      <c r="B20" s="19" t="s">
        <v>75</v>
      </c>
      <c r="C20" s="19" t="s">
        <v>76</v>
      </c>
      <c r="D20" s="20">
        <v>5</v>
      </c>
      <c r="E20" s="19" t="s">
        <v>104</v>
      </c>
      <c r="F20" s="19" t="s">
        <v>57</v>
      </c>
      <c r="G20" s="19" t="s">
        <v>105</v>
      </c>
      <c r="H20" s="19" t="s">
        <v>106</v>
      </c>
      <c r="I20" s="28" t="s">
        <v>107</v>
      </c>
      <c r="J20" s="19" t="s">
        <v>61</v>
      </c>
      <c r="K20" s="19" t="s">
        <v>62</v>
      </c>
      <c r="L20" s="29">
        <v>0.05</v>
      </c>
      <c r="M20" s="29">
        <v>0.15</v>
      </c>
      <c r="N20" s="29">
        <v>0.33</v>
      </c>
      <c r="O20" s="29">
        <v>0.5</v>
      </c>
      <c r="P20" s="29">
        <f t="shared" si="0"/>
        <v>0.5</v>
      </c>
      <c r="Q20" s="19" t="s">
        <v>63</v>
      </c>
      <c r="R20" s="19" t="s">
        <v>81</v>
      </c>
      <c r="S20" s="19" t="s">
        <v>82</v>
      </c>
      <c r="T20" s="19" t="s">
        <v>66</v>
      </c>
      <c r="U20" s="19" t="s">
        <v>67</v>
      </c>
      <c r="V20" s="138" t="s">
        <v>301</v>
      </c>
      <c r="W20" s="56">
        <f t="shared" si="1"/>
        <v>0.05</v>
      </c>
      <c r="X20" s="59">
        <v>1.1599999999999999E-2</v>
      </c>
      <c r="Y20" s="59">
        <f t="shared" si="6"/>
        <v>0.23199999999999998</v>
      </c>
      <c r="Z20" s="19" t="s">
        <v>108</v>
      </c>
      <c r="AA20" s="19" t="s">
        <v>84</v>
      </c>
      <c r="AB20" s="29">
        <f t="shared" si="2"/>
        <v>0.15</v>
      </c>
      <c r="AC20" s="81">
        <v>0.16789999999999999</v>
      </c>
      <c r="AD20" s="55">
        <f t="shared" si="7"/>
        <v>1</v>
      </c>
      <c r="AE20" s="19" t="s">
        <v>109</v>
      </c>
      <c r="AF20" s="19" t="s">
        <v>71</v>
      </c>
      <c r="AG20" s="56">
        <f t="shared" si="3"/>
        <v>0.33</v>
      </c>
      <c r="AH20" s="79">
        <v>0.34</v>
      </c>
      <c r="AI20" s="60">
        <f t="shared" si="8"/>
        <v>1</v>
      </c>
      <c r="AJ20" s="19" t="s">
        <v>110</v>
      </c>
      <c r="AK20" s="19" t="s">
        <v>111</v>
      </c>
      <c r="AL20" s="29">
        <f t="shared" si="4"/>
        <v>0.5</v>
      </c>
      <c r="AM20" s="19"/>
      <c r="AN20" s="55">
        <f t="shared" si="9"/>
        <v>0</v>
      </c>
      <c r="AO20" s="19"/>
      <c r="AP20" s="19"/>
      <c r="AQ20" s="56">
        <f t="shared" si="5"/>
        <v>0.5</v>
      </c>
      <c r="AR20" s="58">
        <f>IFERROR(MAX(X20,AC20,AH20,AM20),0)</f>
        <v>0.34</v>
      </c>
      <c r="AS20" s="60">
        <f t="shared" si="10"/>
        <v>0.68</v>
      </c>
      <c r="AT20" s="75" t="s">
        <v>112</v>
      </c>
    </row>
    <row r="21" spans="1:46" s="27" customFormat="1" ht="210" x14ac:dyDescent="0.25">
      <c r="A21" s="20">
        <v>3</v>
      </c>
      <c r="B21" s="19" t="s">
        <v>75</v>
      </c>
      <c r="C21" s="19" t="s">
        <v>76</v>
      </c>
      <c r="D21" s="20">
        <v>6</v>
      </c>
      <c r="E21" s="19" t="s">
        <v>113</v>
      </c>
      <c r="F21" s="19" t="s">
        <v>57</v>
      </c>
      <c r="G21" s="19" t="s">
        <v>114</v>
      </c>
      <c r="H21" s="19" t="s">
        <v>115</v>
      </c>
      <c r="I21" s="19" t="s">
        <v>116</v>
      </c>
      <c r="J21" s="19" t="s">
        <v>117</v>
      </c>
      <c r="K21" s="19" t="s">
        <v>62</v>
      </c>
      <c r="L21" s="29">
        <v>0.97</v>
      </c>
      <c r="M21" s="29">
        <v>0.97</v>
      </c>
      <c r="N21" s="29">
        <v>0.97</v>
      </c>
      <c r="O21" s="29">
        <v>0.97</v>
      </c>
      <c r="P21" s="29">
        <f t="shared" si="0"/>
        <v>0.97</v>
      </c>
      <c r="Q21" s="19" t="s">
        <v>63</v>
      </c>
      <c r="R21" s="19" t="s">
        <v>81</v>
      </c>
      <c r="S21" s="19" t="s">
        <v>118</v>
      </c>
      <c r="T21" s="19" t="s">
        <v>66</v>
      </c>
      <c r="U21" s="19" t="s">
        <v>67</v>
      </c>
      <c r="V21" s="138" t="s">
        <v>302</v>
      </c>
      <c r="W21" s="56">
        <f t="shared" si="1"/>
        <v>0.97</v>
      </c>
      <c r="X21" s="58">
        <v>0.44</v>
      </c>
      <c r="Y21" s="59">
        <f>IFERROR(IF(X21/W21&gt;100%,100%,X21/W21),0)</f>
        <v>0.45360824742268041</v>
      </c>
      <c r="Z21" s="19" t="s">
        <v>119</v>
      </c>
      <c r="AA21" s="19" t="s">
        <v>84</v>
      </c>
      <c r="AB21" s="29">
        <f t="shared" si="2"/>
        <v>0.97</v>
      </c>
      <c r="AC21" s="28">
        <v>1</v>
      </c>
      <c r="AD21" s="55">
        <f>IFERROR(IF(AC21/AB21&gt;100%,100%,AC21/AB21),0)</f>
        <v>1</v>
      </c>
      <c r="AE21" s="19" t="s">
        <v>120</v>
      </c>
      <c r="AF21" s="19" t="s">
        <v>71</v>
      </c>
      <c r="AG21" s="56">
        <f t="shared" si="3"/>
        <v>0.97</v>
      </c>
      <c r="AH21" s="79">
        <v>0.85</v>
      </c>
      <c r="AI21" s="60">
        <f>IFERROR(IF(AH21/AG21&gt;100%,100%,AH21/AG21),0)</f>
        <v>0.87628865979381443</v>
      </c>
      <c r="AJ21" s="91" t="s">
        <v>121</v>
      </c>
      <c r="AK21" s="92" t="s">
        <v>122</v>
      </c>
      <c r="AL21" s="29">
        <f t="shared" si="4"/>
        <v>0.97</v>
      </c>
      <c r="AM21" s="19"/>
      <c r="AN21" s="55">
        <f t="shared" si="9"/>
        <v>0</v>
      </c>
      <c r="AO21" s="19"/>
      <c r="AP21" s="19"/>
      <c r="AQ21" s="56">
        <f t="shared" si="5"/>
        <v>0.97</v>
      </c>
      <c r="AR21" s="58">
        <f>IFERROR(AVERAGE(X21,AC21,AH21,AM21)*0.75,0)</f>
        <v>0.57250000000000001</v>
      </c>
      <c r="AS21" s="60">
        <f>IFERROR(IF(AR21/AQ21&gt;100%,100%,AR21/AQ21),0)</f>
        <v>0.59020618556701032</v>
      </c>
      <c r="AT21" s="75" t="s">
        <v>123</v>
      </c>
    </row>
    <row r="22" spans="1:46" s="27" customFormat="1" ht="255" x14ac:dyDescent="0.25">
      <c r="A22" s="20">
        <v>3</v>
      </c>
      <c r="B22" s="19" t="s">
        <v>75</v>
      </c>
      <c r="C22" s="19" t="s">
        <v>76</v>
      </c>
      <c r="D22" s="20">
        <v>7</v>
      </c>
      <c r="E22" s="19" t="s">
        <v>124</v>
      </c>
      <c r="F22" s="19" t="s">
        <v>125</v>
      </c>
      <c r="G22" s="19" t="s">
        <v>126</v>
      </c>
      <c r="H22" s="19" t="s">
        <v>127</v>
      </c>
      <c r="I22" s="19" t="s">
        <v>128</v>
      </c>
      <c r="J22" s="19" t="s">
        <v>61</v>
      </c>
      <c r="K22" s="19" t="s">
        <v>62</v>
      </c>
      <c r="L22" s="29">
        <v>0</v>
      </c>
      <c r="M22" s="29">
        <v>0.7</v>
      </c>
      <c r="N22" s="29">
        <v>0.8</v>
      </c>
      <c r="O22" s="29">
        <v>1</v>
      </c>
      <c r="P22" s="29">
        <f t="shared" si="0"/>
        <v>1</v>
      </c>
      <c r="Q22" s="19" t="s">
        <v>63</v>
      </c>
      <c r="R22" s="19" t="s">
        <v>81</v>
      </c>
      <c r="S22" s="19" t="s">
        <v>118</v>
      </c>
      <c r="T22" s="19" t="s">
        <v>66</v>
      </c>
      <c r="U22" s="19" t="s">
        <v>67</v>
      </c>
      <c r="V22" s="138" t="s">
        <v>303</v>
      </c>
      <c r="W22" s="56">
        <f t="shared" si="1"/>
        <v>0</v>
      </c>
      <c r="X22" s="59">
        <v>0</v>
      </c>
      <c r="Y22" s="59">
        <f>IFERROR(IF(X22/W22&gt;100%,100%,X22/W22),0)</f>
        <v>0</v>
      </c>
      <c r="Z22" s="19" t="s">
        <v>129</v>
      </c>
      <c r="AA22" s="19" t="s">
        <v>69</v>
      </c>
      <c r="AB22" s="29">
        <f t="shared" si="2"/>
        <v>0.7</v>
      </c>
      <c r="AC22" s="28">
        <v>1</v>
      </c>
      <c r="AD22" s="55">
        <f>IFERROR(IF(AC22/AB22&gt;100%,100%,AC22/AB22),0)</f>
        <v>1</v>
      </c>
      <c r="AE22" s="19" t="s">
        <v>130</v>
      </c>
      <c r="AF22" s="19" t="s">
        <v>71</v>
      </c>
      <c r="AG22" s="56">
        <f t="shared" si="3"/>
        <v>0.8</v>
      </c>
      <c r="AH22" s="79">
        <v>1</v>
      </c>
      <c r="AI22" s="60">
        <f>IFERROR(IF(AH22/AG22&gt;100%,100%,AH22/AG22),0)</f>
        <v>1</v>
      </c>
      <c r="AJ22" s="19" t="s">
        <v>131</v>
      </c>
      <c r="AK22" s="19" t="s">
        <v>132</v>
      </c>
      <c r="AL22" s="29">
        <f t="shared" si="4"/>
        <v>1</v>
      </c>
      <c r="AM22" s="19"/>
      <c r="AN22" s="55">
        <f t="shared" si="9"/>
        <v>0</v>
      </c>
      <c r="AO22" s="19"/>
      <c r="AP22" s="19"/>
      <c r="AQ22" s="56">
        <f t="shared" si="5"/>
        <v>1</v>
      </c>
      <c r="AR22" s="58">
        <f>IFERROR(MAX(X22,AC22,AH22,AM22),0)</f>
        <v>1</v>
      </c>
      <c r="AS22" s="60">
        <f>IFERROR(IF(AR22/AQ22&gt;100%,100%,AR22/AQ22),0)</f>
        <v>1</v>
      </c>
      <c r="AT22" s="75" t="s">
        <v>133</v>
      </c>
    </row>
    <row r="23" spans="1:46" s="27" customFormat="1" ht="120" x14ac:dyDescent="0.25">
      <c r="A23" s="20">
        <v>4</v>
      </c>
      <c r="B23" s="19" t="s">
        <v>54</v>
      </c>
      <c r="C23" s="19" t="s">
        <v>134</v>
      </c>
      <c r="D23" s="20">
        <v>8</v>
      </c>
      <c r="E23" s="19" t="s">
        <v>135</v>
      </c>
      <c r="F23" s="19" t="s">
        <v>57</v>
      </c>
      <c r="G23" s="19" t="s">
        <v>136</v>
      </c>
      <c r="H23" s="19" t="s">
        <v>137</v>
      </c>
      <c r="I23" s="19" t="s">
        <v>138</v>
      </c>
      <c r="J23" s="19" t="s">
        <v>139</v>
      </c>
      <c r="K23" s="19" t="s">
        <v>136</v>
      </c>
      <c r="L23" s="26">
        <v>2000</v>
      </c>
      <c r="M23" s="26">
        <v>3035</v>
      </c>
      <c r="N23" s="26">
        <v>3035</v>
      </c>
      <c r="O23" s="26">
        <v>3035</v>
      </c>
      <c r="P23" s="26">
        <f>SUM(L23:O23)</f>
        <v>11105</v>
      </c>
      <c r="Q23" s="19" t="s">
        <v>63</v>
      </c>
      <c r="R23" s="19" t="s">
        <v>140</v>
      </c>
      <c r="S23" s="19" t="s">
        <v>141</v>
      </c>
      <c r="T23" s="19" t="s">
        <v>142</v>
      </c>
      <c r="U23" s="19" t="s">
        <v>143</v>
      </c>
      <c r="V23" s="138" t="s">
        <v>304</v>
      </c>
      <c r="W23" s="61">
        <f t="shared" si="1"/>
        <v>2000</v>
      </c>
      <c r="X23" s="57">
        <v>2614</v>
      </c>
      <c r="Y23" s="59">
        <f>IFERROR(IF(X23/W23&gt;100%,100%,X23/W23),0)</f>
        <v>1</v>
      </c>
      <c r="Z23" s="19" t="s">
        <v>144</v>
      </c>
      <c r="AA23" s="19" t="s">
        <v>145</v>
      </c>
      <c r="AB23" s="26">
        <f t="shared" si="2"/>
        <v>3035</v>
      </c>
      <c r="AC23" s="19">
        <v>4160</v>
      </c>
      <c r="AD23" s="55">
        <f t="shared" ref="AD23" si="11">IFERROR(IF(AC23/AB23&gt;100%,100%,AC23/AB23),0)</f>
        <v>1</v>
      </c>
      <c r="AE23" s="19" t="s">
        <v>146</v>
      </c>
      <c r="AF23" s="19" t="s">
        <v>147</v>
      </c>
      <c r="AG23" s="61">
        <f t="shared" si="3"/>
        <v>3035</v>
      </c>
      <c r="AH23" s="57">
        <v>3586</v>
      </c>
      <c r="AI23" s="60">
        <f t="shared" ref="AI23" si="12">IFERROR(IF(AH23/AG23&gt;100%,100%,AH23/AG23),0)</f>
        <v>1</v>
      </c>
      <c r="AJ23" s="19" t="s">
        <v>148</v>
      </c>
      <c r="AK23" s="19" t="s">
        <v>149</v>
      </c>
      <c r="AL23" s="26">
        <f t="shared" si="4"/>
        <v>3035</v>
      </c>
      <c r="AM23" s="19"/>
      <c r="AN23" s="55">
        <f t="shared" si="9"/>
        <v>0</v>
      </c>
      <c r="AO23" s="19"/>
      <c r="AP23" s="19"/>
      <c r="AQ23" s="57">
        <f t="shared" si="5"/>
        <v>11105</v>
      </c>
      <c r="AR23" s="61">
        <f>IFERROR(X23+AC23+AH23+AM23,0)</f>
        <v>10360</v>
      </c>
      <c r="AS23" s="60">
        <f t="shared" ref="AS23" si="13">IFERROR(IF(AR23/AQ23&gt;100%,100%,AR23/AQ23),0)</f>
        <v>0.93291310220621337</v>
      </c>
      <c r="AT23" s="75" t="s">
        <v>150</v>
      </c>
    </row>
    <row r="24" spans="1:46" s="27" customFormat="1" ht="120" x14ac:dyDescent="0.25">
      <c r="A24" s="20">
        <v>4</v>
      </c>
      <c r="B24" s="19" t="s">
        <v>54</v>
      </c>
      <c r="C24" s="19" t="s">
        <v>134</v>
      </c>
      <c r="D24" s="20">
        <v>9</v>
      </c>
      <c r="E24" s="19" t="s">
        <v>151</v>
      </c>
      <c r="F24" s="19" t="s">
        <v>57</v>
      </c>
      <c r="G24" s="19" t="s">
        <v>152</v>
      </c>
      <c r="H24" s="19" t="s">
        <v>153</v>
      </c>
      <c r="I24" s="19" t="s">
        <v>138</v>
      </c>
      <c r="J24" s="19" t="s">
        <v>139</v>
      </c>
      <c r="K24" s="19" t="s">
        <v>152</v>
      </c>
      <c r="L24" s="26">
        <v>637</v>
      </c>
      <c r="M24" s="26">
        <v>637</v>
      </c>
      <c r="N24" s="26">
        <v>786</v>
      </c>
      <c r="O24" s="26">
        <v>637</v>
      </c>
      <c r="P24" s="26">
        <f t="shared" ref="P24:P29" si="14">SUM(L24:O24)</f>
        <v>2697</v>
      </c>
      <c r="Q24" s="19" t="s">
        <v>63</v>
      </c>
      <c r="R24" s="30" t="s">
        <v>154</v>
      </c>
      <c r="S24" s="30" t="s">
        <v>141</v>
      </c>
      <c r="T24" s="19" t="s">
        <v>142</v>
      </c>
      <c r="U24" s="19" t="s">
        <v>143</v>
      </c>
      <c r="V24" s="138" t="s">
        <v>304</v>
      </c>
      <c r="W24" s="61">
        <f t="shared" si="1"/>
        <v>637</v>
      </c>
      <c r="X24" s="57">
        <v>511</v>
      </c>
      <c r="Y24" s="59">
        <f t="shared" ref="Y24" si="15">IFERROR(IF(X24/W24&gt;100%,100%,X24/W24),0)</f>
        <v>0.80219780219780223</v>
      </c>
      <c r="Z24" s="19" t="s">
        <v>155</v>
      </c>
      <c r="AA24" s="19" t="s">
        <v>145</v>
      </c>
      <c r="AB24" s="26">
        <f t="shared" si="2"/>
        <v>637</v>
      </c>
      <c r="AC24" s="19">
        <v>877</v>
      </c>
      <c r="AD24" s="55">
        <f>IFERROR(IF(AC24/AB24&gt;100%,100%,AC24/AB24),0)</f>
        <v>1</v>
      </c>
      <c r="AE24" s="19" t="s">
        <v>156</v>
      </c>
      <c r="AF24" s="19" t="s">
        <v>147</v>
      </c>
      <c r="AG24" s="61">
        <f t="shared" si="3"/>
        <v>786</v>
      </c>
      <c r="AH24" s="57">
        <v>815</v>
      </c>
      <c r="AI24" s="60">
        <f>IFERROR(IF(AH24/AG24&gt;100%,100%,AH24/AG24),0)</f>
        <v>1</v>
      </c>
      <c r="AJ24" s="19" t="s">
        <v>157</v>
      </c>
      <c r="AK24" s="19" t="s">
        <v>158</v>
      </c>
      <c r="AL24" s="26">
        <f t="shared" si="4"/>
        <v>637</v>
      </c>
      <c r="AM24" s="19"/>
      <c r="AN24" s="55">
        <f t="shared" si="9"/>
        <v>0</v>
      </c>
      <c r="AO24" s="19"/>
      <c r="AP24" s="19"/>
      <c r="AQ24" s="57">
        <f t="shared" si="5"/>
        <v>2697</v>
      </c>
      <c r="AR24" s="61">
        <f t="shared" ref="AR24:AR29" si="16">IFERROR(X24+AC24+AH24+AM24,0)</f>
        <v>2203</v>
      </c>
      <c r="AS24" s="60">
        <f>IFERROR(IF(AR24/AQ24&gt;100%,100%,AR24/AQ24),0)</f>
        <v>0.81683351872450871</v>
      </c>
      <c r="AT24" s="75" t="s">
        <v>159</v>
      </c>
    </row>
    <row r="25" spans="1:46" s="27" customFormat="1" ht="120" x14ac:dyDescent="0.25">
      <c r="A25" s="20">
        <v>4</v>
      </c>
      <c r="B25" s="19" t="s">
        <v>54</v>
      </c>
      <c r="C25" s="19" t="s">
        <v>134</v>
      </c>
      <c r="D25" s="20">
        <v>10</v>
      </c>
      <c r="E25" s="19" t="s">
        <v>160</v>
      </c>
      <c r="F25" s="19" t="s">
        <v>57</v>
      </c>
      <c r="G25" s="19" t="s">
        <v>161</v>
      </c>
      <c r="H25" s="19" t="s">
        <v>162</v>
      </c>
      <c r="I25" s="19" t="s">
        <v>138</v>
      </c>
      <c r="J25" s="19" t="s">
        <v>139</v>
      </c>
      <c r="K25" s="19" t="s">
        <v>163</v>
      </c>
      <c r="L25" s="26">
        <v>6</v>
      </c>
      <c r="M25" s="26">
        <v>9</v>
      </c>
      <c r="N25" s="26">
        <v>15</v>
      </c>
      <c r="O25" s="26">
        <v>10</v>
      </c>
      <c r="P25" s="26">
        <f t="shared" si="14"/>
        <v>40</v>
      </c>
      <c r="Q25" s="19" t="s">
        <v>63</v>
      </c>
      <c r="R25" s="19" t="s">
        <v>164</v>
      </c>
      <c r="S25" s="19" t="s">
        <v>165</v>
      </c>
      <c r="T25" s="19" t="s">
        <v>142</v>
      </c>
      <c r="U25" s="19" t="s">
        <v>143</v>
      </c>
      <c r="V25" s="138" t="s">
        <v>304</v>
      </c>
      <c r="W25" s="61">
        <f t="shared" si="1"/>
        <v>6</v>
      </c>
      <c r="X25" s="57">
        <v>34</v>
      </c>
      <c r="Y25" s="59">
        <f>IFERROR(IF(X25/W25&gt;100%,100%,X25/W25),0)</f>
        <v>1</v>
      </c>
      <c r="Z25" s="19" t="s">
        <v>166</v>
      </c>
      <c r="AA25" s="19" t="s">
        <v>145</v>
      </c>
      <c r="AB25" s="26">
        <f t="shared" si="2"/>
        <v>9</v>
      </c>
      <c r="AC25" s="19">
        <v>18</v>
      </c>
      <c r="AD25" s="55">
        <f t="shared" ref="AD25" si="17">IFERROR(IF(AC25/AB25&gt;100%,100%,AC25/AB25),0)</f>
        <v>1</v>
      </c>
      <c r="AE25" s="19" t="s">
        <v>167</v>
      </c>
      <c r="AF25" s="19" t="s">
        <v>147</v>
      </c>
      <c r="AG25" s="61">
        <f t="shared" si="3"/>
        <v>15</v>
      </c>
      <c r="AH25" s="57">
        <v>25</v>
      </c>
      <c r="AI25" s="90">
        <f t="shared" ref="AI25" si="18">IFERROR(IF(AH25/AG25&gt;100%,100%,AH25/AG25),0)</f>
        <v>1</v>
      </c>
      <c r="AJ25" s="19" t="s">
        <v>168</v>
      </c>
      <c r="AK25" s="19" t="s">
        <v>169</v>
      </c>
      <c r="AL25" s="26">
        <f t="shared" si="4"/>
        <v>10</v>
      </c>
      <c r="AM25" s="19"/>
      <c r="AN25" s="55">
        <f t="shared" si="9"/>
        <v>0</v>
      </c>
      <c r="AO25" s="19"/>
      <c r="AP25" s="19"/>
      <c r="AQ25" s="57">
        <f t="shared" si="5"/>
        <v>40</v>
      </c>
      <c r="AR25" s="61">
        <f t="shared" si="16"/>
        <v>77</v>
      </c>
      <c r="AS25" s="60">
        <f t="shared" ref="AS25" si="19">IFERROR(IF(AR25/AQ25&gt;100%,100%,AR25/AQ25),0)</f>
        <v>1</v>
      </c>
      <c r="AT25" s="75" t="s">
        <v>133</v>
      </c>
    </row>
    <row r="26" spans="1:46" s="27" customFormat="1" ht="120" x14ac:dyDescent="0.25">
      <c r="A26" s="20">
        <v>4</v>
      </c>
      <c r="B26" s="19" t="s">
        <v>54</v>
      </c>
      <c r="C26" s="19" t="s">
        <v>134</v>
      </c>
      <c r="D26" s="20">
        <v>11</v>
      </c>
      <c r="E26" s="19" t="s">
        <v>170</v>
      </c>
      <c r="F26" s="19" t="s">
        <v>57</v>
      </c>
      <c r="G26" s="19" t="s">
        <v>171</v>
      </c>
      <c r="H26" s="19" t="s">
        <v>172</v>
      </c>
      <c r="I26" s="19" t="s">
        <v>138</v>
      </c>
      <c r="J26" s="19" t="s">
        <v>139</v>
      </c>
      <c r="K26" s="19" t="s">
        <v>173</v>
      </c>
      <c r="L26" s="36">
        <v>6</v>
      </c>
      <c r="M26" s="36">
        <v>9</v>
      </c>
      <c r="N26" s="36">
        <v>12</v>
      </c>
      <c r="O26" s="36">
        <v>11</v>
      </c>
      <c r="P26" s="26">
        <f t="shared" si="14"/>
        <v>38</v>
      </c>
      <c r="Q26" s="19" t="s">
        <v>63</v>
      </c>
      <c r="R26" s="19" t="s">
        <v>164</v>
      </c>
      <c r="S26" s="19" t="s">
        <v>165</v>
      </c>
      <c r="T26" s="19" t="s">
        <v>142</v>
      </c>
      <c r="U26" s="19" t="s">
        <v>143</v>
      </c>
      <c r="V26" s="138" t="s">
        <v>304</v>
      </c>
      <c r="W26" s="61">
        <f t="shared" si="1"/>
        <v>6</v>
      </c>
      <c r="X26" s="79">
        <v>0</v>
      </c>
      <c r="Y26" s="59">
        <f t="shared" ref="Y26" si="20">IFERROR(IF(X26/W26&gt;100%,100%,X26/W26),0)</f>
        <v>0</v>
      </c>
      <c r="Z26" s="19" t="s">
        <v>174</v>
      </c>
      <c r="AA26" s="19" t="s">
        <v>145</v>
      </c>
      <c r="AB26" s="26">
        <f t="shared" si="2"/>
        <v>9</v>
      </c>
      <c r="AC26" s="19">
        <v>5</v>
      </c>
      <c r="AD26" s="55">
        <f>IFERROR(IF(AC26/AB26&gt;100%,100%,AC26/AB26),0)</f>
        <v>0.55555555555555558</v>
      </c>
      <c r="AE26" s="19" t="s">
        <v>175</v>
      </c>
      <c r="AF26" s="19" t="s">
        <v>147</v>
      </c>
      <c r="AG26" s="61">
        <f t="shared" si="3"/>
        <v>12</v>
      </c>
      <c r="AH26" s="57">
        <v>21</v>
      </c>
      <c r="AI26" s="90">
        <f>IFERROR(IF(AH26/AG26&gt;100%,100%,AH26/AG26),0)</f>
        <v>1</v>
      </c>
      <c r="AJ26" s="19" t="s">
        <v>176</v>
      </c>
      <c r="AK26" s="19" t="s">
        <v>177</v>
      </c>
      <c r="AL26" s="26">
        <f t="shared" si="4"/>
        <v>11</v>
      </c>
      <c r="AM26" s="19"/>
      <c r="AN26" s="55">
        <f t="shared" si="9"/>
        <v>0</v>
      </c>
      <c r="AO26" s="19"/>
      <c r="AP26" s="19"/>
      <c r="AQ26" s="57">
        <f t="shared" si="5"/>
        <v>38</v>
      </c>
      <c r="AR26" s="61">
        <f t="shared" si="16"/>
        <v>26</v>
      </c>
      <c r="AS26" s="60">
        <f>IFERROR(IF(AR26/AQ26&gt;100%,100%,AR26/AQ26),0)</f>
        <v>0.68421052631578949</v>
      </c>
      <c r="AT26" s="75" t="s">
        <v>178</v>
      </c>
    </row>
    <row r="27" spans="1:46" s="27" customFormat="1" ht="150" x14ac:dyDescent="0.25">
      <c r="A27" s="20">
        <v>4</v>
      </c>
      <c r="B27" s="19" t="s">
        <v>54</v>
      </c>
      <c r="C27" s="19" t="s">
        <v>134</v>
      </c>
      <c r="D27" s="20">
        <v>12</v>
      </c>
      <c r="E27" s="19" t="s">
        <v>179</v>
      </c>
      <c r="F27" s="19" t="s">
        <v>57</v>
      </c>
      <c r="G27" s="19" t="s">
        <v>180</v>
      </c>
      <c r="H27" s="19" t="s">
        <v>181</v>
      </c>
      <c r="I27" s="19" t="s">
        <v>138</v>
      </c>
      <c r="J27" s="19" t="s">
        <v>139</v>
      </c>
      <c r="K27" s="19" t="s">
        <v>182</v>
      </c>
      <c r="L27" s="36">
        <v>15</v>
      </c>
      <c r="M27" s="36">
        <v>32</v>
      </c>
      <c r="N27" s="36">
        <v>32</v>
      </c>
      <c r="O27" s="36">
        <v>32</v>
      </c>
      <c r="P27" s="26">
        <f t="shared" si="14"/>
        <v>111</v>
      </c>
      <c r="Q27" s="19" t="s">
        <v>63</v>
      </c>
      <c r="R27" s="19" t="s">
        <v>183</v>
      </c>
      <c r="S27" s="19" t="s">
        <v>184</v>
      </c>
      <c r="T27" s="19" t="s">
        <v>142</v>
      </c>
      <c r="U27" s="19" t="s">
        <v>143</v>
      </c>
      <c r="V27" s="138" t="s">
        <v>304</v>
      </c>
      <c r="W27" s="61">
        <f t="shared" si="1"/>
        <v>15</v>
      </c>
      <c r="X27" s="57">
        <v>35</v>
      </c>
      <c r="Y27" s="59">
        <f>IFERROR(IF(X27/W27&gt;100%,100%,X27/W27),0)</f>
        <v>1</v>
      </c>
      <c r="Z27" s="19" t="s">
        <v>185</v>
      </c>
      <c r="AA27" s="19" t="s">
        <v>186</v>
      </c>
      <c r="AB27" s="26">
        <f t="shared" si="2"/>
        <v>32</v>
      </c>
      <c r="AC27" s="19">
        <v>29</v>
      </c>
      <c r="AD27" s="55">
        <f t="shared" ref="AD27" si="21">IFERROR(IF(AC27/AB27&gt;100%,100%,AC27/AB27),0)</f>
        <v>0.90625</v>
      </c>
      <c r="AE27" s="19" t="s">
        <v>187</v>
      </c>
      <c r="AF27" s="19" t="s">
        <v>188</v>
      </c>
      <c r="AG27" s="61">
        <f t="shared" si="3"/>
        <v>32</v>
      </c>
      <c r="AH27" s="57">
        <v>38</v>
      </c>
      <c r="AI27" s="90">
        <f t="shared" ref="AI27" si="22">IFERROR(IF(AH27/AG27&gt;100%,100%,AH27/AG27),0)</f>
        <v>1</v>
      </c>
      <c r="AJ27" s="19" t="s">
        <v>189</v>
      </c>
      <c r="AK27" s="19" t="s">
        <v>190</v>
      </c>
      <c r="AL27" s="26">
        <f t="shared" si="4"/>
        <v>32</v>
      </c>
      <c r="AM27" s="19"/>
      <c r="AN27" s="55">
        <f t="shared" si="9"/>
        <v>0</v>
      </c>
      <c r="AO27" s="19"/>
      <c r="AP27" s="19"/>
      <c r="AQ27" s="57">
        <f t="shared" si="5"/>
        <v>111</v>
      </c>
      <c r="AR27" s="61">
        <f t="shared" si="16"/>
        <v>102</v>
      </c>
      <c r="AS27" s="60">
        <f t="shared" ref="AS27" si="23">IFERROR(IF(AR27/AQ27&gt;100%,100%,AR27/AQ27),0)</f>
        <v>0.91891891891891897</v>
      </c>
      <c r="AT27" s="75" t="s">
        <v>191</v>
      </c>
    </row>
    <row r="28" spans="1:46" s="27" customFormat="1" ht="135" x14ac:dyDescent="0.25">
      <c r="A28" s="20">
        <v>4</v>
      </c>
      <c r="B28" s="19" t="s">
        <v>54</v>
      </c>
      <c r="C28" s="19" t="s">
        <v>134</v>
      </c>
      <c r="D28" s="20">
        <v>13</v>
      </c>
      <c r="E28" s="19" t="s">
        <v>192</v>
      </c>
      <c r="F28" s="19" t="s">
        <v>57</v>
      </c>
      <c r="G28" s="19" t="s">
        <v>193</v>
      </c>
      <c r="H28" s="19" t="s">
        <v>194</v>
      </c>
      <c r="I28" s="19" t="s">
        <v>138</v>
      </c>
      <c r="J28" s="19" t="s">
        <v>139</v>
      </c>
      <c r="K28" s="19" t="s">
        <v>182</v>
      </c>
      <c r="L28" s="26">
        <v>42</v>
      </c>
      <c r="M28" s="26">
        <v>69</v>
      </c>
      <c r="N28" s="26">
        <v>69</v>
      </c>
      <c r="O28" s="26">
        <v>52</v>
      </c>
      <c r="P28" s="26">
        <f t="shared" si="14"/>
        <v>232</v>
      </c>
      <c r="Q28" s="19" t="s">
        <v>63</v>
      </c>
      <c r="R28" s="19" t="s">
        <v>195</v>
      </c>
      <c r="S28" s="19" t="s">
        <v>184</v>
      </c>
      <c r="T28" s="19" t="s">
        <v>142</v>
      </c>
      <c r="U28" s="19" t="s">
        <v>143</v>
      </c>
      <c r="V28" s="138" t="s">
        <v>304</v>
      </c>
      <c r="W28" s="61">
        <f t="shared" si="1"/>
        <v>42</v>
      </c>
      <c r="X28" s="57">
        <v>81</v>
      </c>
      <c r="Y28" s="59">
        <f t="shared" ref="Y28" si="24">IFERROR(IF(X28/W28&gt;100%,100%,X28/W28),0)</f>
        <v>1</v>
      </c>
      <c r="Z28" s="19" t="s">
        <v>196</v>
      </c>
      <c r="AA28" s="19" t="s">
        <v>186</v>
      </c>
      <c r="AB28" s="26">
        <f t="shared" si="2"/>
        <v>69</v>
      </c>
      <c r="AC28" s="19">
        <v>67</v>
      </c>
      <c r="AD28" s="55">
        <f>IFERROR(IF(AC28/AB28&gt;100%,100%,AC28/AB28),0)</f>
        <v>0.97101449275362317</v>
      </c>
      <c r="AE28" s="19" t="s">
        <v>197</v>
      </c>
      <c r="AF28" s="19" t="s">
        <v>188</v>
      </c>
      <c r="AG28" s="61">
        <f t="shared" si="3"/>
        <v>69</v>
      </c>
      <c r="AH28" s="57">
        <v>77</v>
      </c>
      <c r="AI28" s="90">
        <f>IFERROR(IF(AH28/AG28&gt;100%,100%,AH28/AG28),0)</f>
        <v>1</v>
      </c>
      <c r="AJ28" s="19" t="s">
        <v>198</v>
      </c>
      <c r="AK28" s="19" t="s">
        <v>190</v>
      </c>
      <c r="AL28" s="26">
        <f t="shared" si="4"/>
        <v>52</v>
      </c>
      <c r="AM28" s="19"/>
      <c r="AN28" s="55">
        <f t="shared" si="9"/>
        <v>0</v>
      </c>
      <c r="AO28" s="19"/>
      <c r="AP28" s="19"/>
      <c r="AQ28" s="57">
        <f t="shared" si="5"/>
        <v>232</v>
      </c>
      <c r="AR28" s="61">
        <f t="shared" si="16"/>
        <v>225</v>
      </c>
      <c r="AS28" s="60">
        <f>IFERROR(IF(AR28/AQ28&gt;100%,100%,AR28/AQ28),0)</f>
        <v>0.96982758620689657</v>
      </c>
      <c r="AT28" s="75" t="s">
        <v>199</v>
      </c>
    </row>
    <row r="29" spans="1:46" s="27" customFormat="1" ht="135" x14ac:dyDescent="0.25">
      <c r="A29" s="20">
        <v>4</v>
      </c>
      <c r="B29" s="19" t="s">
        <v>54</v>
      </c>
      <c r="C29" s="19" t="s">
        <v>134</v>
      </c>
      <c r="D29" s="20">
        <v>14</v>
      </c>
      <c r="E29" s="19" t="s">
        <v>200</v>
      </c>
      <c r="F29" s="19" t="s">
        <v>57</v>
      </c>
      <c r="G29" s="19" t="s">
        <v>201</v>
      </c>
      <c r="H29" s="19" t="s">
        <v>202</v>
      </c>
      <c r="I29" s="19" t="s">
        <v>138</v>
      </c>
      <c r="J29" s="19" t="s">
        <v>139</v>
      </c>
      <c r="K29" s="19" t="s">
        <v>182</v>
      </c>
      <c r="L29" s="26">
        <v>7</v>
      </c>
      <c r="M29" s="26">
        <v>26</v>
      </c>
      <c r="N29" s="26">
        <v>27</v>
      </c>
      <c r="O29" s="26">
        <v>26</v>
      </c>
      <c r="P29" s="26">
        <f t="shared" si="14"/>
        <v>86</v>
      </c>
      <c r="Q29" s="19" t="s">
        <v>63</v>
      </c>
      <c r="R29" s="19" t="s">
        <v>203</v>
      </c>
      <c r="S29" s="19" t="s">
        <v>184</v>
      </c>
      <c r="T29" s="19" t="s">
        <v>142</v>
      </c>
      <c r="U29" s="19" t="s">
        <v>143</v>
      </c>
      <c r="V29" s="138" t="s">
        <v>304</v>
      </c>
      <c r="W29" s="61">
        <f t="shared" si="1"/>
        <v>7</v>
      </c>
      <c r="X29" s="57">
        <v>34</v>
      </c>
      <c r="Y29" s="59">
        <f>IFERROR(IF(X29/W29&gt;100%,100%,X29/W29),0)</f>
        <v>1</v>
      </c>
      <c r="Z29" s="19" t="s">
        <v>204</v>
      </c>
      <c r="AA29" s="19" t="s">
        <v>186</v>
      </c>
      <c r="AB29" s="26">
        <f t="shared" si="2"/>
        <v>26</v>
      </c>
      <c r="AC29" s="19">
        <v>24</v>
      </c>
      <c r="AD29" s="55">
        <f t="shared" ref="AD29" si="25">IFERROR(IF(AC29/AB29&gt;100%,100%,AC29/AB29),0)</f>
        <v>0.92307692307692313</v>
      </c>
      <c r="AE29" s="19" t="s">
        <v>205</v>
      </c>
      <c r="AF29" s="19" t="s">
        <v>188</v>
      </c>
      <c r="AG29" s="61">
        <f t="shared" si="3"/>
        <v>27</v>
      </c>
      <c r="AH29" s="57">
        <v>40</v>
      </c>
      <c r="AI29" s="90">
        <f t="shared" ref="AI29" si="26">IFERROR(IF(AH29/AG29&gt;100%,100%,AH29/AG29),0)</f>
        <v>1</v>
      </c>
      <c r="AJ29" s="19" t="s">
        <v>206</v>
      </c>
      <c r="AK29" s="19" t="s">
        <v>190</v>
      </c>
      <c r="AL29" s="26">
        <f t="shared" si="4"/>
        <v>26</v>
      </c>
      <c r="AM29" s="19"/>
      <c r="AN29" s="55">
        <f t="shared" si="9"/>
        <v>0</v>
      </c>
      <c r="AO29" s="19"/>
      <c r="AP29" s="19"/>
      <c r="AQ29" s="57">
        <f t="shared" si="5"/>
        <v>86</v>
      </c>
      <c r="AR29" s="61">
        <f t="shared" si="16"/>
        <v>98</v>
      </c>
      <c r="AS29" s="60">
        <f t="shared" ref="AS29" si="27">IFERROR(IF(AR29/AQ29&gt;100%,100%,AR29/AQ29),0)</f>
        <v>1</v>
      </c>
      <c r="AT29" s="75" t="s">
        <v>133</v>
      </c>
    </row>
    <row r="30" spans="1:46" s="5" customFormat="1" ht="15.75" x14ac:dyDescent="0.25">
      <c r="A30" s="10"/>
      <c r="B30" s="10"/>
      <c r="C30" s="10"/>
      <c r="D30" s="10"/>
      <c r="E30" s="13" t="s">
        <v>207</v>
      </c>
      <c r="F30" s="10"/>
      <c r="G30" s="10"/>
      <c r="H30" s="10"/>
      <c r="I30" s="10"/>
      <c r="J30" s="10"/>
      <c r="K30" s="10"/>
      <c r="L30" s="14"/>
      <c r="M30" s="14"/>
      <c r="N30" s="14"/>
      <c r="O30" s="14"/>
      <c r="P30" s="14"/>
      <c r="Q30" s="10"/>
      <c r="R30" s="10"/>
      <c r="S30" s="10"/>
      <c r="T30" s="10"/>
      <c r="U30" s="10"/>
      <c r="V30" s="10"/>
      <c r="W30" s="15"/>
      <c r="X30" s="15"/>
      <c r="Y30" s="62">
        <f>AVERAGE(Y17,Y18,Y19,Y20,Y21,Y23,Y24,Y25,Y26,Y27,Y28,Y29)*80%</f>
        <v>0.62163151441914344</v>
      </c>
      <c r="Z30" s="14"/>
      <c r="AA30" s="14"/>
      <c r="AB30" s="14"/>
      <c r="AC30" s="14"/>
      <c r="AD30" s="76">
        <f>AVERAGE(AD16:AD29)*80%</f>
        <v>0.70678594938532835</v>
      </c>
      <c r="AE30" s="14"/>
      <c r="AF30" s="14"/>
      <c r="AG30" s="15"/>
      <c r="AH30" s="15"/>
      <c r="AI30" s="62">
        <f>AVERAGE(AI16:AI29)*80%</f>
        <v>0.74312669892699357</v>
      </c>
      <c r="AJ30" s="14"/>
      <c r="AK30" s="14"/>
      <c r="AL30" s="14"/>
      <c r="AM30" s="14"/>
      <c r="AN30" s="14">
        <f>AVERAGE(AN16:AN29)*80%</f>
        <v>0</v>
      </c>
      <c r="AO30" s="10"/>
      <c r="AP30" s="10"/>
      <c r="AQ30" s="15"/>
      <c r="AR30" s="15"/>
      <c r="AS30" s="62">
        <f>AVERAGE(AS16:AS29)*80%</f>
        <v>0.62783578236913229</v>
      </c>
      <c r="AT30" s="10"/>
    </row>
    <row r="31" spans="1:46" s="50" customFormat="1" ht="150" x14ac:dyDescent="0.25">
      <c r="A31" s="31">
        <v>3</v>
      </c>
      <c r="B31" s="24" t="s">
        <v>75</v>
      </c>
      <c r="C31" s="24" t="s">
        <v>208</v>
      </c>
      <c r="D31" s="31" t="s">
        <v>209</v>
      </c>
      <c r="E31" s="24" t="s">
        <v>210</v>
      </c>
      <c r="F31" s="24" t="s">
        <v>211</v>
      </c>
      <c r="G31" s="24" t="s">
        <v>212</v>
      </c>
      <c r="H31" s="24" t="s">
        <v>213</v>
      </c>
      <c r="I31" s="24" t="s">
        <v>214</v>
      </c>
      <c r="J31" s="37" t="s">
        <v>117</v>
      </c>
      <c r="K31" s="37" t="s">
        <v>215</v>
      </c>
      <c r="L31" s="38" t="s">
        <v>216</v>
      </c>
      <c r="M31" s="39">
        <v>0.8</v>
      </c>
      <c r="N31" s="38" t="s">
        <v>216</v>
      </c>
      <c r="O31" s="39">
        <v>0.8</v>
      </c>
      <c r="P31" s="39">
        <v>0.8</v>
      </c>
      <c r="Q31" s="24" t="s">
        <v>63</v>
      </c>
      <c r="R31" s="24" t="s">
        <v>217</v>
      </c>
      <c r="S31" s="24" t="s">
        <v>218</v>
      </c>
      <c r="T31" s="24" t="s">
        <v>219</v>
      </c>
      <c r="U31" s="24" t="s">
        <v>220</v>
      </c>
      <c r="V31" s="140" t="s">
        <v>306</v>
      </c>
      <c r="W31" s="63">
        <v>0</v>
      </c>
      <c r="X31" s="65">
        <v>0</v>
      </c>
      <c r="Y31" s="65">
        <f>IFERROR(IF(X31/W31&gt;100%,100%,X31/W31),0)</f>
        <v>0</v>
      </c>
      <c r="Z31" s="24" t="s">
        <v>68</v>
      </c>
      <c r="AA31" s="24" t="s">
        <v>69</v>
      </c>
      <c r="AB31" s="41">
        <f t="shared" ref="AB31:AB37" si="28">M31</f>
        <v>0.8</v>
      </c>
      <c r="AC31" s="80">
        <v>1</v>
      </c>
      <c r="AD31" s="54">
        <f>IFERROR(IF(AC31/AB31&gt;100%,100%,AC31/AB31),0)</f>
        <v>1</v>
      </c>
      <c r="AE31" s="24" t="s">
        <v>221</v>
      </c>
      <c r="AF31" s="24" t="s">
        <v>222</v>
      </c>
      <c r="AG31" s="66">
        <v>0</v>
      </c>
      <c r="AH31" s="69">
        <v>0</v>
      </c>
      <c r="AI31" s="65">
        <f>IFERROR(IF(AH31/AG31&gt;100%,100%,AH31/AG31),0)</f>
        <v>0</v>
      </c>
      <c r="AJ31" s="24" t="s">
        <v>223</v>
      </c>
      <c r="AK31" s="24" t="s">
        <v>223</v>
      </c>
      <c r="AL31" s="41">
        <f>O31</f>
        <v>0.8</v>
      </c>
      <c r="AM31" s="24"/>
      <c r="AN31" s="54">
        <f t="shared" ref="AN31:AN37" si="29">IFERROR(IF(AM31/AL31&gt;100%,100%,AM31/AL31),0)</f>
        <v>0</v>
      </c>
      <c r="AO31" s="24"/>
      <c r="AP31" s="24"/>
      <c r="AQ31" s="68">
        <f>P31</f>
        <v>0.8</v>
      </c>
      <c r="AR31" s="69">
        <f>IFERROR(AVERAGE(AC31,AM31)*0.5,0)</f>
        <v>0.5</v>
      </c>
      <c r="AS31" s="67">
        <f t="shared" ref="AS31:AS37" si="30">IFERROR(IF(AR31/AQ31&gt;100%,100%,AR31/AQ31),0)</f>
        <v>0.625</v>
      </c>
      <c r="AT31" s="24" t="s">
        <v>224</v>
      </c>
    </row>
    <row r="32" spans="1:46" s="50" customFormat="1" ht="135" x14ac:dyDescent="0.25">
      <c r="A32" s="31">
        <v>5</v>
      </c>
      <c r="B32" s="24" t="s">
        <v>225</v>
      </c>
      <c r="C32" s="24" t="s">
        <v>226</v>
      </c>
      <c r="D32" s="31" t="s">
        <v>227</v>
      </c>
      <c r="E32" s="42" t="s">
        <v>228</v>
      </c>
      <c r="F32" s="42" t="s">
        <v>211</v>
      </c>
      <c r="G32" s="42" t="s">
        <v>229</v>
      </c>
      <c r="H32" s="42" t="s">
        <v>230</v>
      </c>
      <c r="I32" s="42" t="s">
        <v>231</v>
      </c>
      <c r="J32" s="42" t="s">
        <v>232</v>
      </c>
      <c r="K32" s="42" t="s">
        <v>229</v>
      </c>
      <c r="L32" s="43" t="s">
        <v>223</v>
      </c>
      <c r="M32" s="44">
        <v>1</v>
      </c>
      <c r="N32" s="44">
        <v>1</v>
      </c>
      <c r="O32" s="45">
        <v>1</v>
      </c>
      <c r="P32" s="45">
        <v>1</v>
      </c>
      <c r="Q32" s="42" t="s">
        <v>233</v>
      </c>
      <c r="R32" s="42" t="s">
        <v>234</v>
      </c>
      <c r="S32" s="42" t="s">
        <v>235</v>
      </c>
      <c r="T32" s="46" t="s">
        <v>236</v>
      </c>
      <c r="U32" s="47" t="s">
        <v>237</v>
      </c>
      <c r="V32" s="141" t="s">
        <v>307</v>
      </c>
      <c r="W32" s="63">
        <v>0</v>
      </c>
      <c r="X32" s="65">
        <v>0</v>
      </c>
      <c r="Y32" s="65">
        <f t="shared" ref="Y32:Y37" si="31">IFERROR(IF(X32/W32&gt;100%,100%,X32/W32),0)</f>
        <v>0</v>
      </c>
      <c r="Z32" s="24" t="s">
        <v>68</v>
      </c>
      <c r="AA32" s="24" t="s">
        <v>69</v>
      </c>
      <c r="AB32" s="41">
        <f t="shared" si="28"/>
        <v>1</v>
      </c>
      <c r="AC32" s="54">
        <v>0.99039999999999995</v>
      </c>
      <c r="AD32" s="54">
        <f t="shared" ref="AD32:AD37" si="32">IFERROR(IF(AC32/AB32&gt;100%,100%,AC32/AB32),0)</f>
        <v>0.99039999999999995</v>
      </c>
      <c r="AE32" s="24" t="s">
        <v>238</v>
      </c>
      <c r="AF32" s="24" t="s">
        <v>239</v>
      </c>
      <c r="AG32" s="68">
        <f>N32</f>
        <v>1</v>
      </c>
      <c r="AH32" s="65">
        <v>0.99039999999999995</v>
      </c>
      <c r="AI32" s="65">
        <f t="shared" ref="AI32:AI37" si="33">IFERROR(IF(AH32/AG32&gt;100%,100%,AH32/AG32),0)</f>
        <v>0.99039999999999995</v>
      </c>
      <c r="AJ32" s="24" t="s">
        <v>240</v>
      </c>
      <c r="AK32" s="24" t="s">
        <v>241</v>
      </c>
      <c r="AL32" s="41">
        <f>O32</f>
        <v>1</v>
      </c>
      <c r="AM32" s="24"/>
      <c r="AN32" s="54">
        <f t="shared" si="29"/>
        <v>0</v>
      </c>
      <c r="AO32" s="24"/>
      <c r="AP32" s="24"/>
      <c r="AQ32" s="68">
        <f>P32</f>
        <v>1</v>
      </c>
      <c r="AR32" s="69">
        <f>IFERROR(AVERAGE(AC32,AH32,AM32)*0.67,0)</f>
        <v>0.66356800000000005</v>
      </c>
      <c r="AS32" s="67">
        <f t="shared" si="30"/>
        <v>0.66356800000000005</v>
      </c>
      <c r="AT32" s="24" t="s">
        <v>242</v>
      </c>
    </row>
    <row r="33" spans="1:46" s="50" customFormat="1" ht="90" x14ac:dyDescent="0.25">
      <c r="A33" s="31">
        <v>3</v>
      </c>
      <c r="B33" s="24" t="s">
        <v>75</v>
      </c>
      <c r="C33" s="24" t="s">
        <v>208</v>
      </c>
      <c r="D33" s="31" t="s">
        <v>243</v>
      </c>
      <c r="E33" s="24" t="s">
        <v>244</v>
      </c>
      <c r="F33" s="24" t="s">
        <v>211</v>
      </c>
      <c r="G33" s="24" t="s">
        <v>245</v>
      </c>
      <c r="H33" s="24" t="s">
        <v>246</v>
      </c>
      <c r="I33" s="31" t="s">
        <v>247</v>
      </c>
      <c r="J33" s="25" t="s">
        <v>139</v>
      </c>
      <c r="K33" s="24" t="s">
        <v>245</v>
      </c>
      <c r="L33" s="48">
        <v>0</v>
      </c>
      <c r="M33" s="48">
        <v>1</v>
      </c>
      <c r="N33" s="48">
        <v>0</v>
      </c>
      <c r="O33" s="48">
        <v>1</v>
      </c>
      <c r="P33" s="48">
        <v>2</v>
      </c>
      <c r="Q33" s="24" t="s">
        <v>63</v>
      </c>
      <c r="R33" s="42" t="s">
        <v>248</v>
      </c>
      <c r="S33" s="42" t="s">
        <v>248</v>
      </c>
      <c r="T33" s="42" t="s">
        <v>219</v>
      </c>
      <c r="U33" s="42" t="s">
        <v>219</v>
      </c>
      <c r="V33" s="140" t="s">
        <v>308</v>
      </c>
      <c r="W33" s="63">
        <f>L33</f>
        <v>0</v>
      </c>
      <c r="X33" s="65">
        <v>0</v>
      </c>
      <c r="Y33" s="65">
        <f t="shared" si="31"/>
        <v>0</v>
      </c>
      <c r="Z33" s="24" t="s">
        <v>68</v>
      </c>
      <c r="AA33" s="24" t="s">
        <v>69</v>
      </c>
      <c r="AB33" s="82">
        <f t="shared" si="28"/>
        <v>1</v>
      </c>
      <c r="AC33" s="24">
        <v>1</v>
      </c>
      <c r="AD33" s="54">
        <f t="shared" si="32"/>
        <v>1</v>
      </c>
      <c r="AE33" s="24" t="s">
        <v>249</v>
      </c>
      <c r="AF33" s="24" t="s">
        <v>250</v>
      </c>
      <c r="AG33" s="63">
        <f>N33</f>
        <v>0</v>
      </c>
      <c r="AH33" s="74">
        <v>0</v>
      </c>
      <c r="AI33" s="65">
        <f t="shared" si="33"/>
        <v>0</v>
      </c>
      <c r="AJ33" s="24" t="s">
        <v>223</v>
      </c>
      <c r="AK33" s="24" t="s">
        <v>223</v>
      </c>
      <c r="AL33" s="40">
        <f>O33</f>
        <v>1</v>
      </c>
      <c r="AM33" s="24"/>
      <c r="AN33" s="54">
        <f t="shared" si="29"/>
        <v>0</v>
      </c>
      <c r="AO33" s="24"/>
      <c r="AP33" s="24"/>
      <c r="AQ33" s="64">
        <f>P33</f>
        <v>2</v>
      </c>
      <c r="AR33" s="63">
        <f>IFERROR(AC33+AM33,0)</f>
        <v>1</v>
      </c>
      <c r="AS33" s="67">
        <f t="shared" si="30"/>
        <v>0.5</v>
      </c>
      <c r="AT33" s="24" t="s">
        <v>251</v>
      </c>
    </row>
    <row r="34" spans="1:46" s="50" customFormat="1" ht="120" x14ac:dyDescent="0.25">
      <c r="A34" s="31">
        <v>3</v>
      </c>
      <c r="B34" s="24" t="s">
        <v>75</v>
      </c>
      <c r="C34" s="24" t="s">
        <v>252</v>
      </c>
      <c r="D34" s="31" t="s">
        <v>253</v>
      </c>
      <c r="E34" s="42" t="s">
        <v>254</v>
      </c>
      <c r="F34" s="42" t="s">
        <v>211</v>
      </c>
      <c r="G34" s="42" t="s">
        <v>255</v>
      </c>
      <c r="H34" s="42" t="s">
        <v>256</v>
      </c>
      <c r="I34" s="42" t="s">
        <v>257</v>
      </c>
      <c r="J34" s="42" t="s">
        <v>139</v>
      </c>
      <c r="K34" s="42" t="s">
        <v>258</v>
      </c>
      <c r="L34" s="49">
        <v>1</v>
      </c>
      <c r="M34" s="49">
        <v>0</v>
      </c>
      <c r="N34" s="49">
        <v>0</v>
      </c>
      <c r="O34" s="49">
        <v>0</v>
      </c>
      <c r="P34" s="49">
        <v>1</v>
      </c>
      <c r="Q34" s="42" t="s">
        <v>63</v>
      </c>
      <c r="R34" s="42" t="s">
        <v>259</v>
      </c>
      <c r="S34" s="42" t="s">
        <v>260</v>
      </c>
      <c r="T34" s="42" t="s">
        <v>219</v>
      </c>
      <c r="U34" s="42" t="s">
        <v>261</v>
      </c>
      <c r="V34" s="140" t="s">
        <v>309</v>
      </c>
      <c r="W34" s="68">
        <v>1</v>
      </c>
      <c r="X34" s="69">
        <f>7/7</f>
        <v>1</v>
      </c>
      <c r="Y34" s="65">
        <f>IFERROR(IF(X34/W34&gt;100%,100%,X34/W34),0)</f>
        <v>1</v>
      </c>
      <c r="Z34" s="24" t="s">
        <v>262</v>
      </c>
      <c r="AA34" s="24" t="s">
        <v>263</v>
      </c>
      <c r="AB34" s="80">
        <f t="shared" si="28"/>
        <v>0</v>
      </c>
      <c r="AC34" s="54">
        <v>0</v>
      </c>
      <c r="AD34" s="54">
        <f>IFERROR(IF(AC34/AB34&gt;100%,100%,AC34/AB34),0)</f>
        <v>0</v>
      </c>
      <c r="AE34" s="24" t="s">
        <v>68</v>
      </c>
      <c r="AF34" s="24" t="s">
        <v>68</v>
      </c>
      <c r="AG34" s="66">
        <v>0</v>
      </c>
      <c r="AH34" s="69">
        <v>0</v>
      </c>
      <c r="AI34" s="65">
        <f>IFERROR(IF(AH34/AG34&gt;100%,100%,AH34/AG34),0)</f>
        <v>0</v>
      </c>
      <c r="AJ34" s="24" t="s">
        <v>223</v>
      </c>
      <c r="AK34" s="24" t="s">
        <v>223</v>
      </c>
      <c r="AL34" s="40" t="s">
        <v>264</v>
      </c>
      <c r="AM34" s="24"/>
      <c r="AN34" s="54">
        <f t="shared" si="29"/>
        <v>0</v>
      </c>
      <c r="AO34" s="24"/>
      <c r="AP34" s="24"/>
      <c r="AQ34" s="66">
        <v>1</v>
      </c>
      <c r="AR34" s="66">
        <f>IFERROR(X34+AC34+AH34+AM34,0)</f>
        <v>1</v>
      </c>
      <c r="AS34" s="67">
        <f t="shared" si="30"/>
        <v>1</v>
      </c>
      <c r="AT34" s="72" t="s">
        <v>265</v>
      </c>
    </row>
    <row r="35" spans="1:46" s="50" customFormat="1" ht="195" x14ac:dyDescent="0.25">
      <c r="A35" s="31">
        <v>3</v>
      </c>
      <c r="B35" s="24" t="s">
        <v>75</v>
      </c>
      <c r="C35" s="24" t="s">
        <v>252</v>
      </c>
      <c r="D35" s="31" t="s">
        <v>266</v>
      </c>
      <c r="E35" s="42" t="s">
        <v>267</v>
      </c>
      <c r="F35" s="42" t="s">
        <v>211</v>
      </c>
      <c r="G35" s="42" t="s">
        <v>268</v>
      </c>
      <c r="H35" s="42" t="s">
        <v>269</v>
      </c>
      <c r="I35" s="42" t="s">
        <v>128</v>
      </c>
      <c r="J35" s="42" t="s">
        <v>117</v>
      </c>
      <c r="K35" s="42" t="s">
        <v>268</v>
      </c>
      <c r="L35" s="49">
        <v>1</v>
      </c>
      <c r="M35" s="49">
        <v>1</v>
      </c>
      <c r="N35" s="49">
        <v>1</v>
      </c>
      <c r="O35" s="49">
        <v>1</v>
      </c>
      <c r="P35" s="49">
        <v>1</v>
      </c>
      <c r="Q35" s="42" t="s">
        <v>270</v>
      </c>
      <c r="R35" s="42" t="s">
        <v>271</v>
      </c>
      <c r="S35" s="42" t="s">
        <v>272</v>
      </c>
      <c r="T35" s="42" t="s">
        <v>219</v>
      </c>
      <c r="U35" s="42" t="s">
        <v>261</v>
      </c>
      <c r="V35" s="140" t="s">
        <v>309</v>
      </c>
      <c r="W35" s="68">
        <f>L35</f>
        <v>1</v>
      </c>
      <c r="X35" s="69">
        <f>12/28</f>
        <v>0.42857142857142855</v>
      </c>
      <c r="Y35" s="65">
        <f t="shared" si="31"/>
        <v>0.42857142857142855</v>
      </c>
      <c r="Z35" s="24" t="s">
        <v>273</v>
      </c>
      <c r="AA35" s="24" t="s">
        <v>274</v>
      </c>
      <c r="AB35" s="41">
        <f t="shared" si="28"/>
        <v>1</v>
      </c>
      <c r="AC35" s="83">
        <f>23/36</f>
        <v>0.63888888888888884</v>
      </c>
      <c r="AD35" s="54">
        <f t="shared" si="32"/>
        <v>0.63888888888888884</v>
      </c>
      <c r="AE35" s="24" t="s">
        <v>275</v>
      </c>
      <c r="AF35" s="24" t="s">
        <v>276</v>
      </c>
      <c r="AG35" s="68">
        <f>N35</f>
        <v>1</v>
      </c>
      <c r="AH35" s="69">
        <f>44/48</f>
        <v>0.91666666666666663</v>
      </c>
      <c r="AI35" s="65">
        <f t="shared" si="33"/>
        <v>0.91666666666666663</v>
      </c>
      <c r="AJ35" s="24" t="s">
        <v>277</v>
      </c>
      <c r="AK35" s="24" t="s">
        <v>278</v>
      </c>
      <c r="AL35" s="41">
        <f>O35</f>
        <v>1</v>
      </c>
      <c r="AM35" s="24"/>
      <c r="AN35" s="54">
        <f t="shared" si="29"/>
        <v>0</v>
      </c>
      <c r="AO35" s="24"/>
      <c r="AP35" s="24"/>
      <c r="AQ35" s="84">
        <f>P35</f>
        <v>1</v>
      </c>
      <c r="AR35" s="85">
        <f>IFERROR(AVERAGE(X35,AC35,AH35,AM35)*0.75,0)</f>
        <v>0.49603174603174605</v>
      </c>
      <c r="AS35" s="86">
        <f t="shared" si="30"/>
        <v>0.49603174603174605</v>
      </c>
      <c r="AT35" s="87" t="s">
        <v>279</v>
      </c>
    </row>
    <row r="36" spans="1:46" s="50" customFormat="1" ht="83.25" customHeight="1" x14ac:dyDescent="0.25">
      <c r="A36" s="31">
        <v>3</v>
      </c>
      <c r="B36" s="24" t="s">
        <v>75</v>
      </c>
      <c r="C36" s="24" t="s">
        <v>280</v>
      </c>
      <c r="D36" s="31" t="s">
        <v>281</v>
      </c>
      <c r="E36" s="24" t="s">
        <v>282</v>
      </c>
      <c r="F36" s="42" t="s">
        <v>211</v>
      </c>
      <c r="G36" s="24" t="s">
        <v>283</v>
      </c>
      <c r="H36" s="24" t="s">
        <v>284</v>
      </c>
      <c r="I36" s="24" t="s">
        <v>285</v>
      </c>
      <c r="J36" s="51" t="s">
        <v>139</v>
      </c>
      <c r="K36" s="24" t="s">
        <v>283</v>
      </c>
      <c r="L36" s="52">
        <v>0</v>
      </c>
      <c r="M36" s="52">
        <v>1</v>
      </c>
      <c r="N36" s="52">
        <v>0</v>
      </c>
      <c r="O36" s="52">
        <v>0</v>
      </c>
      <c r="P36" s="53">
        <v>1</v>
      </c>
      <c r="Q36" s="24" t="s">
        <v>63</v>
      </c>
      <c r="R36" s="24" t="s">
        <v>283</v>
      </c>
      <c r="S36" s="24" t="s">
        <v>286</v>
      </c>
      <c r="T36" s="24" t="s">
        <v>219</v>
      </c>
      <c r="U36" s="24" t="s">
        <v>287</v>
      </c>
      <c r="V36" s="140" t="s">
        <v>310</v>
      </c>
      <c r="W36" s="63">
        <f>L36</f>
        <v>0</v>
      </c>
      <c r="X36" s="65">
        <v>0</v>
      </c>
      <c r="Y36" s="65">
        <f>IFERROR(IF(X36/W36&gt;100%,100%,X36/W36),0)</f>
        <v>0</v>
      </c>
      <c r="Z36" s="24" t="s">
        <v>68</v>
      </c>
      <c r="AA36" s="24" t="s">
        <v>69</v>
      </c>
      <c r="AB36" s="40">
        <f t="shared" si="28"/>
        <v>1</v>
      </c>
      <c r="AC36" s="80">
        <v>0.5</v>
      </c>
      <c r="AD36" s="54">
        <f>IFERROR(IF(AC36/AB36&gt;100%,100%,AC36/AB36),0)</f>
        <v>0.5</v>
      </c>
      <c r="AE36" s="24" t="s">
        <v>288</v>
      </c>
      <c r="AF36" s="24" t="s">
        <v>289</v>
      </c>
      <c r="AG36" s="63">
        <f>N36</f>
        <v>0</v>
      </c>
      <c r="AH36" s="74">
        <v>0</v>
      </c>
      <c r="AI36" s="65">
        <f>IFERROR(IF(AH36/AG36&gt;100%,100%,AH36/AG36),0)</f>
        <v>0</v>
      </c>
      <c r="AJ36" s="24" t="s">
        <v>223</v>
      </c>
      <c r="AK36" s="24" t="s">
        <v>223</v>
      </c>
      <c r="AL36" s="40">
        <f>O36</f>
        <v>0</v>
      </c>
      <c r="AM36" s="24"/>
      <c r="AN36" s="54">
        <f t="shared" si="29"/>
        <v>0</v>
      </c>
      <c r="AO36" s="24"/>
      <c r="AP36" s="24"/>
      <c r="AQ36" s="64">
        <f>P36</f>
        <v>1</v>
      </c>
      <c r="AR36" s="74">
        <f>IFERROR(X36+AC36+AH36+AM36,0)</f>
        <v>0.5</v>
      </c>
      <c r="AS36" s="67">
        <f t="shared" si="30"/>
        <v>0.5</v>
      </c>
      <c r="AT36" s="87" t="s">
        <v>251</v>
      </c>
    </row>
    <row r="37" spans="1:46" s="50" customFormat="1" ht="94.5" customHeight="1" x14ac:dyDescent="0.25">
      <c r="A37" s="31">
        <v>3</v>
      </c>
      <c r="B37" s="24" t="s">
        <v>75</v>
      </c>
      <c r="C37" s="24" t="s">
        <v>280</v>
      </c>
      <c r="D37" s="31" t="s">
        <v>290</v>
      </c>
      <c r="E37" s="24" t="s">
        <v>291</v>
      </c>
      <c r="F37" s="42" t="s">
        <v>211</v>
      </c>
      <c r="G37" s="24" t="s">
        <v>292</v>
      </c>
      <c r="H37" s="24" t="s">
        <v>293</v>
      </c>
      <c r="I37" s="24" t="s">
        <v>285</v>
      </c>
      <c r="J37" s="51" t="s">
        <v>139</v>
      </c>
      <c r="K37" s="24" t="s">
        <v>292</v>
      </c>
      <c r="L37" s="53">
        <v>0</v>
      </c>
      <c r="M37" s="53">
        <v>0</v>
      </c>
      <c r="N37" s="53">
        <v>0</v>
      </c>
      <c r="O37" s="53">
        <v>1</v>
      </c>
      <c r="P37" s="53">
        <v>1</v>
      </c>
      <c r="Q37" s="24" t="s">
        <v>63</v>
      </c>
      <c r="R37" s="24" t="s">
        <v>294</v>
      </c>
      <c r="S37" s="24" t="s">
        <v>295</v>
      </c>
      <c r="T37" s="24" t="s">
        <v>219</v>
      </c>
      <c r="U37" s="24" t="s">
        <v>287</v>
      </c>
      <c r="V37" s="140" t="s">
        <v>310</v>
      </c>
      <c r="W37" s="63">
        <f>L37</f>
        <v>0</v>
      </c>
      <c r="X37" s="65">
        <v>0</v>
      </c>
      <c r="Y37" s="65">
        <f t="shared" si="31"/>
        <v>0</v>
      </c>
      <c r="Z37" s="24" t="s">
        <v>68</v>
      </c>
      <c r="AA37" s="24" t="s">
        <v>69</v>
      </c>
      <c r="AB37" s="40">
        <f t="shared" si="28"/>
        <v>0</v>
      </c>
      <c r="AC37" s="54">
        <v>0</v>
      </c>
      <c r="AD37" s="54">
        <f t="shared" si="32"/>
        <v>0</v>
      </c>
      <c r="AE37" s="24" t="s">
        <v>68</v>
      </c>
      <c r="AF37" s="24" t="s">
        <v>68</v>
      </c>
      <c r="AG37" s="63">
        <f>N37</f>
        <v>0</v>
      </c>
      <c r="AH37" s="74">
        <v>0</v>
      </c>
      <c r="AI37" s="65">
        <f t="shared" si="33"/>
        <v>0</v>
      </c>
      <c r="AJ37" s="24" t="s">
        <v>223</v>
      </c>
      <c r="AK37" s="24" t="s">
        <v>223</v>
      </c>
      <c r="AL37" s="40">
        <f>O37</f>
        <v>1</v>
      </c>
      <c r="AM37" s="24"/>
      <c r="AN37" s="54">
        <f t="shared" si="29"/>
        <v>0</v>
      </c>
      <c r="AO37" s="24"/>
      <c r="AP37" s="24"/>
      <c r="AQ37" s="64">
        <f>P37</f>
        <v>1</v>
      </c>
      <c r="AR37" s="74">
        <f>IFERROR(X37+AC37+AH37+AM37,0)</f>
        <v>0</v>
      </c>
      <c r="AS37" s="67">
        <f t="shared" si="30"/>
        <v>0</v>
      </c>
      <c r="AT37" s="42" t="s">
        <v>296</v>
      </c>
    </row>
    <row r="38" spans="1:46" s="5" customFormat="1" ht="17.25" customHeight="1" x14ac:dyDescent="0.25">
      <c r="A38" s="10"/>
      <c r="B38" s="10"/>
      <c r="C38" s="10"/>
      <c r="D38" s="10"/>
      <c r="E38" s="11" t="s">
        <v>297</v>
      </c>
      <c r="F38" s="11"/>
      <c r="G38" s="11"/>
      <c r="H38" s="11"/>
      <c r="I38" s="11"/>
      <c r="J38" s="11"/>
      <c r="K38" s="11"/>
      <c r="L38" s="12"/>
      <c r="M38" s="12"/>
      <c r="N38" s="12"/>
      <c r="O38" s="12"/>
      <c r="P38" s="12"/>
      <c r="Q38" s="11"/>
      <c r="R38" s="10"/>
      <c r="S38" s="10"/>
      <c r="T38" s="10"/>
      <c r="U38" s="10"/>
      <c r="V38" s="10"/>
      <c r="W38" s="16"/>
      <c r="X38" s="16"/>
      <c r="Y38" s="70">
        <f>AVERAGE(Y34,Y35)*20%</f>
        <v>0.14285714285714288</v>
      </c>
      <c r="Z38" s="10"/>
      <c r="AA38" s="10"/>
      <c r="AB38" s="12"/>
      <c r="AC38" s="12"/>
      <c r="AD38" s="77">
        <f>AVERAGE(AD31,AD32,AD33,AD35,AD36)*20%</f>
        <v>0.16517155555555554</v>
      </c>
      <c r="AE38" s="10"/>
      <c r="AF38" s="10"/>
      <c r="AG38" s="16"/>
      <c r="AH38" s="16"/>
      <c r="AI38" s="70">
        <f>AVERAGE(AI32,AI35)*20%</f>
        <v>0.19070666666666669</v>
      </c>
      <c r="AJ38" s="10"/>
      <c r="AK38" s="10"/>
      <c r="AL38" s="12"/>
      <c r="AM38" s="12"/>
      <c r="AN38" s="77">
        <f>AVERAGE(AN31:AN37)*20%</f>
        <v>0</v>
      </c>
      <c r="AO38" s="10"/>
      <c r="AP38" s="10"/>
      <c r="AQ38" s="16"/>
      <c r="AR38" s="16"/>
      <c r="AS38" s="70">
        <f>AVERAGE(AS31,AS32,AS33,AS34,AS35,AS36)*20%</f>
        <v>0.12615332486772488</v>
      </c>
      <c r="AT38" s="10"/>
    </row>
    <row r="39" spans="1:46" s="9" customFormat="1" ht="18.75" x14ac:dyDescent="0.3">
      <c r="A39" s="6"/>
      <c r="B39" s="6"/>
      <c r="C39" s="6"/>
      <c r="D39" s="6"/>
      <c r="E39" s="7" t="s">
        <v>298</v>
      </c>
      <c r="F39" s="6"/>
      <c r="G39" s="6"/>
      <c r="H39" s="6"/>
      <c r="I39" s="6"/>
      <c r="J39" s="6"/>
      <c r="K39" s="6"/>
      <c r="L39" s="8"/>
      <c r="M39" s="8"/>
      <c r="N39" s="8"/>
      <c r="O39" s="8"/>
      <c r="P39" s="8"/>
      <c r="Q39" s="6"/>
      <c r="R39" s="6"/>
      <c r="S39" s="6"/>
      <c r="T39" s="6"/>
      <c r="U39" s="6"/>
      <c r="V39" s="6"/>
      <c r="W39" s="17"/>
      <c r="X39" s="17"/>
      <c r="Y39" s="71">
        <f>Y30+Y38</f>
        <v>0.76448865727628634</v>
      </c>
      <c r="Z39" s="6"/>
      <c r="AA39" s="6"/>
      <c r="AB39" s="8"/>
      <c r="AC39" s="8"/>
      <c r="AD39" s="78">
        <f>AD30+AD38</f>
        <v>0.87195750494088387</v>
      </c>
      <c r="AE39" s="6"/>
      <c r="AF39" s="6"/>
      <c r="AG39" s="17"/>
      <c r="AH39" s="17"/>
      <c r="AI39" s="71">
        <f>AI30+AI38</f>
        <v>0.93383336559366026</v>
      </c>
      <c r="AJ39" s="6"/>
      <c r="AK39" s="6"/>
      <c r="AL39" s="8"/>
      <c r="AM39" s="8"/>
      <c r="AN39" s="78">
        <f>AN30+AN38</f>
        <v>0</v>
      </c>
      <c r="AO39" s="6"/>
      <c r="AP39" s="6"/>
      <c r="AQ39" s="17"/>
      <c r="AR39" s="17"/>
      <c r="AS39" s="71">
        <f>AS30+AS38</f>
        <v>0.75398910723685719</v>
      </c>
      <c r="AT39" s="6"/>
    </row>
    <row r="40" spans="1:46" x14ac:dyDescent="0.25">
      <c r="AQ40" s="73"/>
      <c r="AR40" s="73"/>
      <c r="AS40" s="73"/>
    </row>
  </sheetData>
  <mergeCells count="21">
    <mergeCell ref="W13:AA14"/>
    <mergeCell ref="AB13:AF14"/>
    <mergeCell ref="AG13:AK14"/>
    <mergeCell ref="AL13:AP14"/>
    <mergeCell ref="AQ13:AT14"/>
    <mergeCell ref="A13:B14"/>
    <mergeCell ref="C13:C15"/>
    <mergeCell ref="A1:K1"/>
    <mergeCell ref="L1:P1"/>
    <mergeCell ref="D13:F14"/>
    <mergeCell ref="G13:Q14"/>
    <mergeCell ref="A2:K2"/>
    <mergeCell ref="R13:V14"/>
    <mergeCell ref="F4:K4"/>
    <mergeCell ref="H5:K5"/>
    <mergeCell ref="H6:K6"/>
    <mergeCell ref="H7:K7"/>
    <mergeCell ref="H8:K8"/>
    <mergeCell ref="H9:K9"/>
    <mergeCell ref="H10:K10"/>
    <mergeCell ref="H11:K11"/>
  </mergeCells>
  <phoneticPr fontId="14" type="noConversion"/>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F16:F30 F38:F1048576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33</v>
      </c>
    </row>
    <row r="2" spans="1:1" x14ac:dyDescent="0.25">
      <c r="A2" t="s">
        <v>57</v>
      </c>
    </row>
    <row r="3" spans="1:1" x14ac:dyDescent="0.25">
      <c r="A3" t="s">
        <v>125</v>
      </c>
    </row>
    <row r="4" spans="1:1" x14ac:dyDescent="0.25">
      <c r="A4" t="s">
        <v>211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d6eaa91c-3afb-4015-aba1-5ff992c1a5ca"/>
    <ds:schemaRef ds:uri="http://purl.org/dc/elements/1.1/"/>
    <ds:schemaRef ds:uri="http://schemas.microsoft.com/office/infopath/2007/PartnerControls"/>
    <ds:schemaRef ds:uri="http://purl.org/dc/dcmitype/"/>
    <ds:schemaRef ds:uri="4d1d2e24-7be0-47eb-a1db-99cc6d75caff"/>
    <ds:schemaRef ds:uri="http://purl.org/dc/terms/"/>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3D81F3B3-09E2-4104-96AB-479FF37F2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Julian David Perez Rios</cp:lastModifiedBy>
  <cp:revision/>
  <dcterms:created xsi:type="dcterms:W3CDTF">2021-01-25T18:44:53Z</dcterms:created>
  <dcterms:modified xsi:type="dcterms:W3CDTF">2025-12-10T18:50:33Z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